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vnozare.pri\vm\Redirect_profiles\gjermacane\Desktop\"/>
    </mc:Choice>
  </mc:AlternateContent>
  <xr:revisionPtr revIDLastSave="0" documentId="8_{BF6159C1-A5CB-49B7-9066-4BABF50B9AD5}" xr6:coauthVersionLast="47" xr6:coauthVersionMax="47" xr10:uidLastSave="{00000000-0000-0000-0000-000000000000}"/>
  <bookViews>
    <workbookView xWindow="-110" yWindow="-110" windowWidth="19420" windowHeight="10420" tabRatio="881" xr2:uid="{00000000-000D-0000-FFFF-FFFF00000000}"/>
  </bookViews>
  <sheets>
    <sheet name="Kopsavilkums" sheetId="61" r:id="rId1"/>
    <sheet name="Vidz_V" sheetId="31" r:id="rId2"/>
    <sheet name="Jēk_BŪV_IV" sheetId="42" r:id="rId3"/>
    <sheet name="Jēk_IV" sheetId="43" r:id="rId4"/>
    <sheet name="Rez_V" sheetId="58" r:id="rId5"/>
    <sheet name="Liepa_IV" sheetId="46" r:id="rId6"/>
    <sheet name="Ziemeļk_IV" sheetId="44" r:id="rId7"/>
    <sheet name="Jelg_IV" sheetId="41" r:id="rId8"/>
    <sheet name="Jūrm_IV" sheetId="30" r:id="rId9"/>
    <sheet name="Tuk_IV" sheetId="40" r:id="rId10"/>
    <sheet name="R.1.sl_V" sheetId="51" r:id="rId11"/>
    <sheet name="Balv_V" sheetId="53" r:id="rId12"/>
    <sheet name="Alūksn_V" sheetId="54" r:id="rId13"/>
    <sheet name="Cēsis_V" sheetId="55" r:id="rId14"/>
    <sheet name="Krāsl_V" sheetId="57" r:id="rId15"/>
    <sheet name="Kuldīg_V" sheetId="59" r:id="rId16"/>
    <sheet name="Observacija" sheetId="60" r:id="rId17"/>
    <sheet name="intensiva_terapija_3_5" sheetId="49" r:id="rId18"/>
    <sheet name="IT_kopsavilkums_6-8" sheetId="62" r:id="rId19"/>
  </sheets>
  <definedNames>
    <definedName name="_xlnm._FilterDatabase" localSheetId="12" hidden="1">Alūksn_V!$A$7:$M$37</definedName>
    <definedName name="_xlnm._FilterDatabase" localSheetId="11" hidden="1">Balv_V!$A$8:$M$37</definedName>
    <definedName name="_xlnm._FilterDatabase" localSheetId="13" hidden="1">Cēsis_V!$A$7:$N$37</definedName>
    <definedName name="_xlnm._FilterDatabase" localSheetId="18" hidden="1">'IT_kopsavilkums_6-8'!$A$3:$D$74</definedName>
    <definedName name="_xlnm._FilterDatabase" localSheetId="14" hidden="1">Krāsl_V!$A$7:$M$32</definedName>
    <definedName name="_xlnm._FilterDatabase" localSheetId="10" hidden="1">'R.1.sl_V'!$A$7:$T$78</definedName>
    <definedName name="_xlnm._FilterDatabase" localSheetId="9" hidden="1">Tuk_IV!$A$6:$M$44</definedName>
    <definedName name="_xlnm._FilterDatabase" localSheetId="1" hidden="1">Vidz_V!$A$7:$N$38</definedName>
    <definedName name="_xlnm._FilterDatabase" localSheetId="6" hidden="1">Ziemeļk_IV!$A$7:$M$68</definedName>
    <definedName name="_xlnm.Print_Area" localSheetId="13">Cēsis_V!$A$1:$M$37</definedName>
    <definedName name="_xlnm.Print_Area" localSheetId="4">Rez_V!$A$1:$M$32</definedName>
    <definedName name="_xlnm.Print_Area" localSheetId="9">Tuk_IV!$A$1:$M$44</definedName>
    <definedName name="_xlnm.Print_Area" localSheetId="6">Ziemeļk_IV!$A$1:$M$68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42" l="1"/>
  <c r="L8" i="42"/>
  <c r="N18" i="61"/>
  <c r="M18" i="61"/>
  <c r="L18" i="61"/>
  <c r="T27" i="61"/>
  <c r="G7" i="61"/>
  <c r="S7" i="61" s="1"/>
  <c r="F27" i="61"/>
  <c r="G27" i="61"/>
  <c r="S27" i="61" s="1"/>
  <c r="G11" i="61"/>
  <c r="S11" i="61" s="1"/>
  <c r="G12" i="61"/>
  <c r="S12" i="61" s="1"/>
  <c r="G14" i="61"/>
  <c r="S14" i="61" s="1"/>
  <c r="G15" i="61"/>
  <c r="S15" i="61" s="1"/>
  <c r="G19" i="61"/>
  <c r="S19" i="61" s="1"/>
  <c r="G21" i="61"/>
  <c r="S21" i="61" s="1"/>
  <c r="G22" i="61"/>
  <c r="S22" i="61" s="1"/>
  <c r="G23" i="61"/>
  <c r="S23" i="61" s="1"/>
  <c r="G24" i="61"/>
  <c r="S24" i="61" s="1"/>
  <c r="G25" i="61"/>
  <c r="S25" i="61" s="1"/>
  <c r="G26" i="61"/>
  <c r="S26" i="61" s="1"/>
  <c r="G28" i="61"/>
  <c r="S28" i="61" s="1"/>
  <c r="G18" i="61" l="1"/>
  <c r="S18" i="61" s="1"/>
  <c r="R9" i="61"/>
  <c r="Q9" i="61"/>
  <c r="M9" i="61"/>
  <c r="P9" i="61"/>
  <c r="J8" i="42"/>
  <c r="F31" i="42"/>
  <c r="L23" i="42"/>
  <c r="J23" i="42"/>
  <c r="F20" i="42"/>
  <c r="L27" i="42"/>
  <c r="L26" i="42"/>
  <c r="L25" i="42"/>
  <c r="L24" i="42"/>
  <c r="L19" i="42"/>
  <c r="L18" i="42"/>
  <c r="L17" i="42"/>
  <c r="L16" i="42"/>
  <c r="L15" i="42"/>
  <c r="L14" i="42"/>
  <c r="L13" i="42"/>
  <c r="I3" i="57"/>
  <c r="I2" i="57"/>
  <c r="R24" i="61"/>
  <c r="P24" i="61"/>
  <c r="O24" i="61"/>
  <c r="N24" i="61"/>
  <c r="M24" i="61"/>
  <c r="M21" i="61"/>
  <c r="K8" i="57"/>
  <c r="I2" i="55"/>
  <c r="O20" i="61"/>
  <c r="N20" i="61"/>
  <c r="M20" i="61"/>
  <c r="K37" i="55"/>
  <c r="K36" i="55"/>
  <c r="L35" i="55"/>
  <c r="P20" i="61" s="1"/>
  <c r="K34" i="55"/>
  <c r="K33" i="55"/>
  <c r="K31" i="55"/>
  <c r="K30" i="55"/>
  <c r="K29" i="55"/>
  <c r="K28" i="55"/>
  <c r="K27" i="55"/>
  <c r="K26" i="55"/>
  <c r="K25" i="55"/>
  <c r="K24" i="55"/>
  <c r="K22" i="55"/>
  <c r="K21" i="55"/>
  <c r="K20" i="55"/>
  <c r="K19" i="55"/>
  <c r="K17" i="55"/>
  <c r="K16" i="55"/>
  <c r="K15" i="55"/>
  <c r="K14" i="55"/>
  <c r="K12" i="55"/>
  <c r="K11" i="55"/>
  <c r="K10" i="55"/>
  <c r="K9" i="55"/>
  <c r="I2" i="54"/>
  <c r="Q19" i="61"/>
  <c r="P19" i="61"/>
  <c r="O19" i="61"/>
  <c r="N19" i="61"/>
  <c r="J19" i="61"/>
  <c r="I1" i="54"/>
  <c r="I3" i="54"/>
  <c r="K8" i="54"/>
  <c r="R16" i="61"/>
  <c r="P16" i="61"/>
  <c r="O16" i="61"/>
  <c r="N16" i="61"/>
  <c r="M16" i="61"/>
  <c r="L16" i="61"/>
  <c r="J1" i="40"/>
  <c r="J2" i="40"/>
  <c r="Q17" i="61"/>
  <c r="P17" i="61"/>
  <c r="O17" i="61"/>
  <c r="N17" i="61"/>
  <c r="M17" i="61"/>
  <c r="L17" i="61"/>
  <c r="K17" i="61"/>
  <c r="K3" i="51"/>
  <c r="J8" i="51"/>
  <c r="T7" i="61"/>
  <c r="J17" i="61"/>
  <c r="I17" i="61"/>
  <c r="H17" i="61"/>
  <c r="H6" i="61" s="1"/>
  <c r="K2" i="51"/>
  <c r="K1" i="51"/>
  <c r="N15" i="61"/>
  <c r="M15" i="61"/>
  <c r="L15" i="61"/>
  <c r="P13" i="61"/>
  <c r="O13" i="61"/>
  <c r="I2" i="44"/>
  <c r="K62" i="44"/>
  <c r="K53" i="44"/>
  <c r="K51" i="44"/>
  <c r="K39" i="44"/>
  <c r="K15" i="44"/>
  <c r="K14" i="44"/>
  <c r="K13" i="44"/>
  <c r="K12" i="44"/>
  <c r="I3" i="44"/>
  <c r="P11" i="61"/>
  <c r="O11" i="61"/>
  <c r="N11" i="61"/>
  <c r="M11" i="61"/>
  <c r="J11" i="61"/>
  <c r="I11" i="61"/>
  <c r="I3" i="46"/>
  <c r="I2" i="46"/>
  <c r="I1" i="46"/>
  <c r="J2" i="46"/>
  <c r="K16" i="46"/>
  <c r="I16" i="46"/>
  <c r="I11" i="46"/>
  <c r="K11" i="46" s="1"/>
  <c r="I9" i="46"/>
  <c r="K9" i="46" s="1"/>
  <c r="Q12" i="61"/>
  <c r="P12" i="61"/>
  <c r="K8" i="58"/>
  <c r="Q10" i="61"/>
  <c r="P10" i="61"/>
  <c r="O10" i="61"/>
  <c r="N10" i="61"/>
  <c r="M10" i="61"/>
  <c r="L10" i="61"/>
  <c r="D6" i="61"/>
  <c r="K8" i="55" l="1"/>
  <c r="G20" i="61"/>
  <c r="S20" i="61" s="1"/>
  <c r="I3" i="55"/>
  <c r="G17" i="61"/>
  <c r="S17" i="61" s="1"/>
  <c r="R6" i="61"/>
  <c r="G16" i="61"/>
  <c r="S16" i="61" s="1"/>
  <c r="G9" i="61"/>
  <c r="S9" i="61" s="1"/>
  <c r="G10" i="61"/>
  <c r="S10" i="61" s="1"/>
  <c r="U17" i="61"/>
  <c r="U11" i="61"/>
  <c r="J2" i="31"/>
  <c r="I1" i="31"/>
  <c r="I2" i="31"/>
  <c r="J8" i="61"/>
  <c r="I8" i="61"/>
  <c r="U8" i="61" s="1"/>
  <c r="Q8" i="61"/>
  <c r="P8" i="61"/>
  <c r="O8" i="61"/>
  <c r="N8" i="61"/>
  <c r="M8" i="61"/>
  <c r="L8" i="61"/>
  <c r="I3" i="31"/>
  <c r="G8" i="61" l="1"/>
  <c r="S8" i="61" s="1"/>
  <c r="T11" i="61"/>
  <c r="T12" i="61"/>
  <c r="T14" i="61"/>
  <c r="T18" i="61"/>
  <c r="T19" i="61"/>
  <c r="T20" i="61"/>
  <c r="T21" i="61"/>
  <c r="T22" i="61"/>
  <c r="T23" i="61"/>
  <c r="T25" i="61"/>
  <c r="F26" i="61"/>
  <c r="Q27" i="61"/>
  <c r="Q6" i="61" s="1"/>
  <c r="P27" i="61"/>
  <c r="P6" i="61" s="1"/>
  <c r="O27" i="61"/>
  <c r="O6" i="61" s="1"/>
  <c r="N27" i="61"/>
  <c r="M27" i="61"/>
  <c r="L27" i="61"/>
  <c r="L26" i="61"/>
  <c r="D74" i="62"/>
  <c r="E74" i="62"/>
  <c r="F74" i="62"/>
  <c r="F76" i="62" s="1"/>
  <c r="I6" i="61"/>
  <c r="J6" i="61"/>
  <c r="K6" i="61"/>
  <c r="U6" i="61"/>
  <c r="T16" i="61"/>
  <c r="T17" i="61"/>
  <c r="T28" i="61"/>
  <c r="C4" i="60"/>
  <c r="C29" i="60" s="1"/>
  <c r="C5" i="60"/>
  <c r="C6" i="60"/>
  <c r="C7" i="60"/>
  <c r="C8" i="60"/>
  <c r="C9" i="60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B29" i="60"/>
  <c r="T8" i="61" l="1"/>
  <c r="T24" i="61"/>
  <c r="T9" i="61"/>
  <c r="T15" i="61"/>
  <c r="F6" i="61"/>
  <c r="E6" i="61"/>
  <c r="T26" i="61" l="1"/>
  <c r="T10" i="61"/>
  <c r="E28" i="58" l="1"/>
  <c r="I8" i="58"/>
  <c r="L8" i="58"/>
  <c r="E13" i="58"/>
  <c r="E14" i="58"/>
  <c r="E16" i="58"/>
  <c r="E17" i="58"/>
  <c r="E18" i="58"/>
  <c r="E19" i="58"/>
  <c r="E26" i="58"/>
  <c r="E27" i="58"/>
  <c r="E30" i="58"/>
  <c r="E31" i="58"/>
  <c r="E8" i="57"/>
  <c r="I8" i="57"/>
  <c r="E9" i="58" l="1"/>
  <c r="E20" i="58"/>
  <c r="E8" i="58" l="1"/>
  <c r="E8" i="55"/>
  <c r="I8" i="55"/>
  <c r="L8" i="55"/>
  <c r="E8" i="54"/>
  <c r="I8" i="54"/>
  <c r="E9" i="53" l="1"/>
  <c r="I10" i="53"/>
  <c r="K10" i="53"/>
  <c r="I21" i="53"/>
  <c r="K21" i="53"/>
  <c r="K27" i="53"/>
  <c r="I28" i="53"/>
  <c r="I32" i="53"/>
  <c r="K32" i="53"/>
  <c r="I37" i="53"/>
  <c r="K37" i="53"/>
  <c r="I9" i="53" l="1"/>
  <c r="K9" i="53"/>
  <c r="L8" i="51" l="1"/>
  <c r="F8" i="51"/>
  <c r="O9" i="51"/>
  <c r="O10" i="51"/>
  <c r="R10" i="51"/>
  <c r="R11" i="51"/>
  <c r="O12" i="51"/>
  <c r="Q12" i="51"/>
  <c r="Q78" i="51" s="1"/>
  <c r="O13" i="51"/>
  <c r="O14" i="51"/>
  <c r="O15" i="51"/>
  <c r="O16" i="51"/>
  <c r="O17" i="51"/>
  <c r="O18" i="51"/>
  <c r="R18" i="51"/>
  <c r="O19" i="51"/>
  <c r="O20" i="51"/>
  <c r="O21" i="51"/>
  <c r="S21" i="51"/>
  <c r="O22" i="51"/>
  <c r="R22" i="51"/>
  <c r="O23" i="51"/>
  <c r="R23" i="51"/>
  <c r="O24" i="51"/>
  <c r="S24" i="51"/>
  <c r="O25" i="51"/>
  <c r="R25" i="51"/>
  <c r="O26" i="51"/>
  <c r="O27" i="51"/>
  <c r="R27" i="51"/>
  <c r="O28" i="51"/>
  <c r="R28" i="51"/>
  <c r="O29" i="51"/>
  <c r="O30" i="51"/>
  <c r="O31" i="51"/>
  <c r="R31" i="51"/>
  <c r="O32" i="51"/>
  <c r="R32" i="51"/>
  <c r="O33" i="51"/>
  <c r="R33" i="51"/>
  <c r="O34" i="51"/>
  <c r="R34" i="51"/>
  <c r="O35" i="51"/>
  <c r="O36" i="51"/>
  <c r="O37" i="51"/>
  <c r="R37" i="51"/>
  <c r="O38" i="51"/>
  <c r="O39" i="51"/>
  <c r="S39" i="51"/>
  <c r="O40" i="51"/>
  <c r="R40" i="51"/>
  <c r="O41" i="51"/>
  <c r="O42" i="51"/>
  <c r="R42" i="51"/>
  <c r="O43" i="51"/>
  <c r="O44" i="51"/>
  <c r="R44" i="51"/>
  <c r="O45" i="51"/>
  <c r="R45" i="51"/>
  <c r="O46" i="51"/>
  <c r="O47" i="51"/>
  <c r="O48" i="51"/>
  <c r="O49" i="51"/>
  <c r="O50" i="51"/>
  <c r="O51" i="51"/>
  <c r="O52" i="51"/>
  <c r="O53" i="51"/>
  <c r="O54" i="51"/>
  <c r="O55" i="51"/>
  <c r="O56" i="51"/>
  <c r="O57" i="51"/>
  <c r="O58" i="51"/>
  <c r="O59" i="51"/>
  <c r="O60" i="51"/>
  <c r="O61" i="51"/>
  <c r="O62" i="51"/>
  <c r="O63" i="51"/>
  <c r="O64" i="51"/>
  <c r="S64" i="51"/>
  <c r="O65" i="51"/>
  <c r="R65" i="51"/>
  <c r="O66" i="51"/>
  <c r="O67" i="51"/>
  <c r="J68" i="51"/>
  <c r="O69" i="51"/>
  <c r="O70" i="51"/>
  <c r="O71" i="51"/>
  <c r="O72" i="51"/>
  <c r="O73" i="51"/>
  <c r="O74" i="51"/>
  <c r="O75" i="51"/>
  <c r="O76" i="51"/>
  <c r="O77" i="51"/>
  <c r="R77" i="51"/>
  <c r="T78" i="51"/>
  <c r="K7" i="40"/>
  <c r="K8" i="30"/>
  <c r="I8" i="30"/>
  <c r="K8" i="41"/>
  <c r="K26" i="44"/>
  <c r="K10" i="44"/>
  <c r="K58" i="44"/>
  <c r="K56" i="44"/>
  <c r="K54" i="44"/>
  <c r="K52" i="44"/>
  <c r="K48" i="44"/>
  <c r="K46" i="44"/>
  <c r="K45" i="44"/>
  <c r="K41" i="44"/>
  <c r="K40" i="44"/>
  <c r="K34" i="44"/>
  <c r="K33" i="44"/>
  <c r="K30" i="44"/>
  <c r="K28" i="44"/>
  <c r="L13" i="61" l="1"/>
  <c r="O68" i="51"/>
  <c r="S78" i="51"/>
  <c r="R78" i="51"/>
  <c r="I64" i="44"/>
  <c r="K64" i="44" s="1"/>
  <c r="I63" i="44"/>
  <c r="K63" i="44" s="1"/>
  <c r="I57" i="44"/>
  <c r="K57" i="44" s="1"/>
  <c r="I55" i="44"/>
  <c r="K55" i="44" s="1"/>
  <c r="I22" i="44"/>
  <c r="I18" i="44"/>
  <c r="K18" i="44" s="1"/>
  <c r="I17" i="44"/>
  <c r="K17" i="44" s="1"/>
  <c r="I16" i="44"/>
  <c r="K16" i="44" s="1"/>
  <c r="I11" i="44"/>
  <c r="K11" i="44" s="1"/>
  <c r="K10" i="46"/>
  <c r="K8" i="46" s="1"/>
  <c r="K7" i="43"/>
  <c r="L6" i="61" l="1"/>
  <c r="N13" i="61"/>
  <c r="N6" i="61" s="1"/>
  <c r="P78" i="51"/>
  <c r="K8" i="31" l="1"/>
  <c r="L8" i="31"/>
  <c r="D6" i="49" l="1"/>
  <c r="D9" i="49"/>
  <c r="D11" i="49"/>
  <c r="D15" i="49"/>
  <c r="D17" i="49"/>
  <c r="D20" i="49"/>
  <c r="D23" i="49"/>
  <c r="D26" i="49"/>
  <c r="D30" i="49"/>
  <c r="D32" i="49"/>
  <c r="D35" i="49"/>
  <c r="D37" i="49"/>
  <c r="D41" i="49"/>
  <c r="D43" i="49"/>
  <c r="D47" i="49"/>
  <c r="D49" i="49"/>
  <c r="D54" i="49"/>
  <c r="D58" i="49"/>
  <c r="D60" i="49"/>
  <c r="D63" i="49"/>
  <c r="D66" i="49"/>
  <c r="D69" i="49"/>
  <c r="D72" i="49"/>
  <c r="E73" i="49"/>
  <c r="F73" i="49"/>
  <c r="D73" i="49" l="1"/>
  <c r="I7" i="40" l="1"/>
  <c r="E7" i="40"/>
  <c r="E8" i="30"/>
  <c r="E7" i="43"/>
  <c r="I10" i="46" l="1"/>
  <c r="E8" i="46"/>
  <c r="I42" i="44"/>
  <c r="K42" i="44" s="1"/>
  <c r="I36" i="44"/>
  <c r="K36" i="44" s="1"/>
  <c r="I29" i="44"/>
  <c r="K29" i="44" s="1"/>
  <c r="I23" i="44"/>
  <c r="I19" i="44"/>
  <c r="E8" i="44"/>
  <c r="D8" i="44"/>
  <c r="I7" i="43"/>
  <c r="K19" i="44" l="1"/>
  <c r="I8" i="44"/>
  <c r="I8" i="46"/>
  <c r="E8" i="41"/>
  <c r="K8" i="44" l="1"/>
  <c r="M13" i="61"/>
  <c r="I8" i="31"/>
  <c r="E8" i="31"/>
  <c r="M6" i="61" l="1"/>
  <c r="G13" i="61"/>
  <c r="S13" i="61" l="1"/>
  <c r="S6" i="61" s="1"/>
  <c r="T13" i="61"/>
  <c r="T6" i="61" s="1"/>
  <c r="G6" i="61"/>
</calcChain>
</file>

<file path=xl/sharedStrings.xml><?xml version="1.0" encoding="utf-8"?>
<sst xmlns="http://schemas.openxmlformats.org/spreadsheetml/2006/main" count="2956" uniqueCount="1099">
  <si>
    <t>Summa</t>
  </si>
  <si>
    <t>Nr.</t>
  </si>
  <si>
    <t>NVD Līgums</t>
  </si>
  <si>
    <t>datums</t>
  </si>
  <si>
    <t xml:space="preserve">Informācija par finanšu līdzekļu izlietojumu </t>
  </si>
  <si>
    <t>Grupa</t>
  </si>
  <si>
    <t>Skaits</t>
  </si>
  <si>
    <t>Plānotā summa (ar PVN), EUR</t>
  </si>
  <si>
    <t>Pavadzīmes  Nr.</t>
  </si>
  <si>
    <t>Datums</t>
  </si>
  <si>
    <t>Piegādātājs</t>
  </si>
  <si>
    <t>Summa ( ar PVN) EUR</t>
  </si>
  <si>
    <t>KOPĀ, t.sk.</t>
  </si>
  <si>
    <t>Atlikums pret līgumā plānoto</t>
  </si>
  <si>
    <t>februāris</t>
  </si>
  <si>
    <t>marts</t>
  </si>
  <si>
    <t>aprīlis</t>
  </si>
  <si>
    <t>Alūksnes sl</t>
  </si>
  <si>
    <t>SIA "ALŪKSNES SLIMNĪCA"</t>
  </si>
  <si>
    <t>Medicīniskā iekārta/papildaprīkojums</t>
  </si>
  <si>
    <t>Infuzomats</t>
  </si>
  <si>
    <t>Ārstniecības iestāde</t>
  </si>
  <si>
    <t>maijs</t>
  </si>
  <si>
    <t>Jaunu IT gultu izveidei un esošo IT gultu aprīkošanai</t>
  </si>
  <si>
    <t>Iekārta mākslīgai elpināšanai</t>
  </si>
  <si>
    <t>Asinsgāzu analizators</t>
  </si>
  <si>
    <t>Video laringoskops ar piederumiem</t>
  </si>
  <si>
    <t>Iekārta mazgāšanai/ dezinfekcijai sanitāriem priekšmetiem</t>
  </si>
  <si>
    <t>Asins recēšanas monitors</t>
  </si>
  <si>
    <t>Asins plazmas atkausētājs</t>
  </si>
  <si>
    <t>Inhalators ultraskaņas</t>
  </si>
  <si>
    <t>Gulta funkcionālā slimnieku</t>
  </si>
  <si>
    <t>Matracis pretizgulējumu dinamiskais</t>
  </si>
  <si>
    <t>Vakuuma sūknis ar piederumiem</t>
  </si>
  <si>
    <t>Ledusskapis medicīniskais</t>
  </si>
  <si>
    <t>Galdiņš ar hidrauliku</t>
  </si>
  <si>
    <t xml:space="preserve">Inkubātors - termoskapis </t>
  </si>
  <si>
    <t>Intravenozo šķidrumu sildīšanas iekārta</t>
  </si>
  <si>
    <t>Aizslietnis pacientu norobežošanai</t>
  </si>
  <si>
    <t>Ultrasonogrāfs, portatīvs</t>
  </si>
  <si>
    <t>monitors ar hemodinamikas monitoru un piederumiem</t>
  </si>
  <si>
    <t>Mazgāšanas-dezinficēšanas iekārta ar statīvu un piederumiem</t>
  </si>
  <si>
    <t>Defibrilators ar moduli</t>
  </si>
  <si>
    <t>Transporta ventilators</t>
  </si>
  <si>
    <t>Perfuzors un zāļu kalkulācijai</t>
  </si>
  <si>
    <t>Rati stumjami procedūru</t>
  </si>
  <si>
    <t>Laringoskops (rokturis un spoguļi)</t>
  </si>
  <si>
    <t>Ekstrakorporālā nieru aizstājējterapija</t>
  </si>
  <si>
    <t>Augstas plūsmas skābekļa terapijas funkcijas nodrošinātājs (centralizēti piegādātām MPV)</t>
  </si>
  <si>
    <t>Automātiskā virsmu dezinfekcijas iekārta ar kontroles stripiem (100) un programmēšanas ierīci</t>
  </si>
  <si>
    <t>UVC germicīda lampa ar skaitītāju, pārvietojamā</t>
  </si>
  <si>
    <t>Telpu norobežojošie aizkari (Aizsargslūžas) ar divpusēju rāvējslēdzēju, mazgājami, dezinficējami</t>
  </si>
  <si>
    <t>01.02.2021.-Alūksnes slimnīca</t>
  </si>
  <si>
    <t>01.02.2021.</t>
  </si>
  <si>
    <t>SIA STALVE</t>
  </si>
  <si>
    <t>Cēsu klīnika</t>
  </si>
  <si>
    <t>Daugavpils RS</t>
  </si>
  <si>
    <t>Jēkabpils RS (būvniecība)</t>
  </si>
  <si>
    <t>Jēkabpils RS</t>
  </si>
  <si>
    <t>Liepājas RS</t>
  </si>
  <si>
    <t>Rēzeknes sl</t>
  </si>
  <si>
    <t>Ziemeļkurzemes RS</t>
  </si>
  <si>
    <t>Jelgavas PS</t>
  </si>
  <si>
    <t>Jūrmala</t>
  </si>
  <si>
    <t>Tukums</t>
  </si>
  <si>
    <t>Rīgas 1.slimnīca</t>
  </si>
  <si>
    <t>Balvu un Gulbenes SA</t>
  </si>
  <si>
    <t>Kuldīgas sl</t>
  </si>
  <si>
    <t>Dobeles AS</t>
  </si>
  <si>
    <t>Ogres RS</t>
  </si>
  <si>
    <t>Krāslavas</t>
  </si>
  <si>
    <t>Preiļu slimnīca</t>
  </si>
  <si>
    <t>20.03.2021.</t>
  </si>
  <si>
    <t>NVD-2/140-2021</t>
  </si>
  <si>
    <t>19.03.2021.</t>
  </si>
  <si>
    <t>NVD-2/135-2021</t>
  </si>
  <si>
    <t>17.03.2021.</t>
  </si>
  <si>
    <t>NVD-2/128-2021</t>
  </si>
  <si>
    <t>NVD-2/136-2021</t>
  </si>
  <si>
    <t>SIA Vidzemes slimnīca</t>
  </si>
  <si>
    <t>x</t>
  </si>
  <si>
    <t>Jaunu IT gultu izveide</t>
  </si>
  <si>
    <t>Trombelastogrāfs</t>
  </si>
  <si>
    <t>Hemodinamikas monitors ar aprīkojumu</t>
  </si>
  <si>
    <t>Infūzijas šķīdumu sildītājs</t>
  </si>
  <si>
    <t>Intensīvās terapijas pacientu gulta ar matraci</t>
  </si>
  <si>
    <t>Perfūzijas sūkņi</t>
  </si>
  <si>
    <t>Infūzijas sūkņi</t>
  </si>
  <si>
    <t>Sūkņu stacija</t>
  </si>
  <si>
    <t>Infūzijas statīvs</t>
  </si>
  <si>
    <t>Hemofiltrācijas/hemodiafiltrācijas ierīce</t>
  </si>
  <si>
    <t>Slimnieku kopšanas rati</t>
  </si>
  <si>
    <t>Procedūru/manipulāciju galdiņi</t>
  </si>
  <si>
    <t>Gaisa attīrīšanas iekārta (lielas jaudas)</t>
  </si>
  <si>
    <t>Gaisa attīrīšanas iekārta (zemākas jaudas)</t>
  </si>
  <si>
    <t>Papildus materiāltehniskais nodrošinājums</t>
  </si>
  <si>
    <t>Rati miruša ķermeņa transportēšanai</t>
  </si>
  <si>
    <t>Centrālās pacientu novērošanas stacijas paplašināšana</t>
  </si>
  <si>
    <t>Centrālās skābekļa sistēmas cauruļvadu un komunikāciju pilnveidošana lielākas plūsmas nodrošināšanai RAN UN COVID nodaļām</t>
  </si>
  <si>
    <t>Ierobežojošo aizkaru/durvju uzstādīšana, remontmateriāliem un remontdarbiem, ugunsdrošibas risinājumu pārvietošanai arī  RAN IT Covid nodaļai</t>
  </si>
  <si>
    <t>10.02.2021.</t>
  </si>
  <si>
    <t>SIA Stalve</t>
  </si>
  <si>
    <t>21-01049</t>
  </si>
  <si>
    <t>25.01.2021.</t>
  </si>
  <si>
    <t>21-00750</t>
  </si>
  <si>
    <t>B korpusa sabrukušā siltummezgla un komunikāciju atjaunošana</t>
  </si>
  <si>
    <t>Veļas mazgājamā mašīna infekciozai gultasveļai un kalandrs</t>
  </si>
  <si>
    <t>Mitrinātāji (centralizēti iegādātām mākslīgās plaušu ventilācijas iekārtām)</t>
  </si>
  <si>
    <t>Augstas plūsmas skābekļa terapijas funkcijas nodrošinātājs (centralizēti piegādātām mākslīgās plaušu ventilācijas iekārtām)</t>
  </si>
  <si>
    <t>NVD-2/129-2021</t>
  </si>
  <si>
    <t>NVD-2/130-2021</t>
  </si>
  <si>
    <t>NVD-2/132-2021</t>
  </si>
  <si>
    <t>NVD-2/131-2021</t>
  </si>
  <si>
    <t>NVD-2/139-2021</t>
  </si>
  <si>
    <t>NVD-2/138-2021</t>
  </si>
  <si>
    <t>NVD-2/141-2021</t>
  </si>
  <si>
    <t>NVD-2/137-2021</t>
  </si>
  <si>
    <t>Vidzemes slimnīca</t>
  </si>
  <si>
    <t>01.04.2021.</t>
  </si>
  <si>
    <t>NVD-2/147-2021</t>
  </si>
  <si>
    <t>29.03.2021.</t>
  </si>
  <si>
    <t>NVD-2/143-2021</t>
  </si>
  <si>
    <t>08.04.2021.</t>
  </si>
  <si>
    <t>ARB 108238</t>
  </si>
  <si>
    <t>SIA Arbor Medical Korporācija</t>
  </si>
  <si>
    <t>21-01650</t>
  </si>
  <si>
    <t>ARB 108639</t>
  </si>
  <si>
    <t>30.03.2021.</t>
  </si>
  <si>
    <t>21-01649</t>
  </si>
  <si>
    <t>16.04.2021.</t>
  </si>
  <si>
    <t>NVD-2/181-2021</t>
  </si>
  <si>
    <t>SIA "Balvu un Gulbenes slimnīcu apvienība"</t>
  </si>
  <si>
    <t xml:space="preserve">Plānotais finansējums </t>
  </si>
  <si>
    <t>Medicīnas ierīce</t>
  </si>
  <si>
    <t xml:space="preserve">Pavadzīme </t>
  </si>
  <si>
    <t>Komentārs par izpildes progresu</t>
  </si>
  <si>
    <t>Divkambaru ārējais elektrokardiostimulātors</t>
  </si>
  <si>
    <t>Aizsargaizslietnis rtg, mobils</t>
  </si>
  <si>
    <t>ABTK 210653 ABTK 210664</t>
  </si>
  <si>
    <t>11.03.2021. 12.03.2021.</t>
  </si>
  <si>
    <t>Amerikas Baltijas Tehnoloģiju  Korporācija, SIA</t>
  </si>
  <si>
    <t>Iekārta dialīzes (hroniskās)</t>
  </si>
  <si>
    <t>BLV 285976</t>
  </si>
  <si>
    <t>09.03.2021.</t>
  </si>
  <si>
    <t>B.Braun Medical, SIA</t>
  </si>
  <si>
    <t>Sirds izsviedes rādītāju monitors</t>
  </si>
  <si>
    <t>Defibrilators</t>
  </si>
  <si>
    <t>ARB 108646</t>
  </si>
  <si>
    <t>31.03.2021.</t>
  </si>
  <si>
    <t>Arbor Medical Korporācija, SIA</t>
  </si>
  <si>
    <t>Portatīvs fibrooptiskais intubāciju bronhoskops</t>
  </si>
  <si>
    <t>ARB 107517</t>
  </si>
  <si>
    <t>04.03.2021.</t>
  </si>
  <si>
    <t>Mākslīgā plaušu ventilācijas iekārta (Transporta)</t>
  </si>
  <si>
    <t>ARB 107547</t>
  </si>
  <si>
    <t>PRGM 294915</t>
  </si>
  <si>
    <t>MEDILINK, SIA</t>
  </si>
  <si>
    <t>Skābekļa nodrošināšana sistēma</t>
  </si>
  <si>
    <t>08.03.2021.</t>
  </si>
  <si>
    <t>Biokapsula</t>
  </si>
  <si>
    <t>ARB 108555</t>
  </si>
  <si>
    <t>26.03.2021.</t>
  </si>
  <si>
    <t>Plazmas dezinfekcijas iekārta</t>
  </si>
  <si>
    <t>Portatīvs RTG</t>
  </si>
  <si>
    <t>ARB 107646</t>
  </si>
  <si>
    <t>05.03.2021.</t>
  </si>
  <si>
    <t>RTG aizsargtērpu (priekšauts, vairogdziedzera aizsargs, sejas aizsargs/brilles) komplekts</t>
  </si>
  <si>
    <t>Medikamentu skapis</t>
  </si>
  <si>
    <t>Medikamentu galdiņš</t>
  </si>
  <si>
    <t>Aprūpes rati</t>
  </si>
  <si>
    <t>Pacienta aktīva sildīšanas/dzesēšanas iekārta</t>
  </si>
  <si>
    <t>ARB 107639 ARB 108344</t>
  </si>
  <si>
    <t>05.03.2021. 23.03.2021.</t>
  </si>
  <si>
    <t>476                     619</t>
  </si>
  <si>
    <t>SIA JŪRMALAS SLIMNĪCA</t>
  </si>
  <si>
    <t>ELPA021007</t>
  </si>
  <si>
    <t>NMS ELPA SIA</t>
  </si>
  <si>
    <t>Dezinfekcijas iekārta</t>
  </si>
  <si>
    <t>AMR-00643</t>
  </si>
  <si>
    <t>24.03.2021.</t>
  </si>
  <si>
    <t>SIA AMRID</t>
  </si>
  <si>
    <t>Mitrinātāji pie mākslīgās plaušu ventilācijas aparāta</t>
  </si>
  <si>
    <t>ELPA 020990</t>
  </si>
  <si>
    <t>25.03.2021.</t>
  </si>
  <si>
    <t>Augstas plūsmas skābekļa terapijas funkcijas nodrošinātājs</t>
  </si>
  <si>
    <t>TR210034</t>
  </si>
  <si>
    <t>SIA TRADINTEK</t>
  </si>
  <si>
    <t>SIA "Ziemeļkurzemes reģionālā slimnīca"</t>
  </si>
  <si>
    <t>EKG aparāti</t>
  </si>
  <si>
    <t>SIA "Arbor Medical Korporācija"</t>
  </si>
  <si>
    <t>SIA "NMS Elpa"</t>
  </si>
  <si>
    <t>Centrālā darba stacija ar  6 monitoriem Infekciju nodaļā (1.stāvā)</t>
  </si>
  <si>
    <t>Centrālā darba stacija ar  12 monitoriem Infekciju nodaļā (2.stāvā)</t>
  </si>
  <si>
    <t>Centrālā stacija ar 4 monitoriem pārceltajai Observācijas palātai</t>
  </si>
  <si>
    <t>Vitālo parametru novērošanas monitors</t>
  </si>
  <si>
    <t>Gultas funkcionālās</t>
  </si>
  <si>
    <t>Pacientu skapīši</t>
  </si>
  <si>
    <t>SIA "Tradintek"</t>
  </si>
  <si>
    <t>Termo kastes ēdienu transportēšanai</t>
  </si>
  <si>
    <t>SIA "Grandus"</t>
  </si>
  <si>
    <t>Uzkopšanas rati</t>
  </si>
  <si>
    <t>SIA "BG"</t>
  </si>
  <si>
    <t>Veļas mazgājamā mašīna 27 kg.</t>
  </si>
  <si>
    <t>Mopu mazgājamā mašīna 11 kg</t>
  </si>
  <si>
    <t>Uzkopšanas drānu mazgājamā mašīna 6 kg.</t>
  </si>
  <si>
    <t>Gultas veļas (t.sk.segu) komplekti</t>
  </si>
  <si>
    <t>KAT21049</t>
  </si>
  <si>
    <t>SIA "Katuns"</t>
  </si>
  <si>
    <t>KAT21051</t>
  </si>
  <si>
    <t>Aizslietņi</t>
  </si>
  <si>
    <t>ARB 108583</t>
  </si>
  <si>
    <t>Dušas krēsli</t>
  </si>
  <si>
    <t>Evakuācijas palagi</t>
  </si>
  <si>
    <t>Uzkopšanas inventārs, mopi, kāti, pēdas, lupatiņas (komplekts)</t>
  </si>
  <si>
    <t>Siltie halāti</t>
  </si>
  <si>
    <t>KAT21050</t>
  </si>
  <si>
    <t>Staiguļi</t>
  </si>
  <si>
    <t>Tualetes krēsli</t>
  </si>
  <si>
    <t>SIA "Medilink"</t>
  </si>
  <si>
    <t>Dezinfekcijas līdzekļu statīvi</t>
  </si>
  <si>
    <t>ALE 210257</t>
  </si>
  <si>
    <t>SIA "Alenda"</t>
  </si>
  <si>
    <t>Slēdzamie ledusskapji</t>
  </si>
  <si>
    <t>SOL 21-09</t>
  </si>
  <si>
    <t>SIA "SOL1"</t>
  </si>
  <si>
    <t>Durvju nomaiņa Infekciju nodaļas palātās 2 stāvos</t>
  </si>
  <si>
    <t>SIA "Aicers"</t>
  </si>
  <si>
    <t>DNS/RNS UV attīrīšanas bokss Covid-19 eksprestestu iekārtai</t>
  </si>
  <si>
    <t>SIA "Biosan Latvija"</t>
  </si>
  <si>
    <t>Rentgenu komplekts plūsmu nodalīšanai (stacionārais rentgens un mobilais ar savstarpēji aizvietojamiem detektoriem)</t>
  </si>
  <si>
    <t>Siemens Healthcare Oy Latvijas filiāle</t>
  </si>
  <si>
    <t>Kardiopulmonālās slodzes testa iekārta</t>
  </si>
  <si>
    <t>Videobronhoskopijas komplekts</t>
  </si>
  <si>
    <t>HFOT opcija MPV iekārtām</t>
  </si>
  <si>
    <t>Transporta rati</t>
  </si>
  <si>
    <t>Vakuuma sūknis</t>
  </si>
  <si>
    <t>Med.ledusskapis</t>
  </si>
  <si>
    <t>SIA "KJ Serviss"</t>
  </si>
  <si>
    <t>Enterālās barošanas sūkņi</t>
  </si>
  <si>
    <t>SIA "Oribalt"</t>
  </si>
  <si>
    <t>Neinvazīvā ventilācijas maska</t>
  </si>
  <si>
    <t>Intensīvo terapijas gultu izveidei</t>
  </si>
  <si>
    <t>Ehokardiogrāfs</t>
  </si>
  <si>
    <t>Triolab OY</t>
  </si>
  <si>
    <t>Endoskopu mazgāšanas un dezinfekcijas mašīna</t>
  </si>
  <si>
    <t>SIA “Baltijas Dialīzes Serviss”</t>
  </si>
  <si>
    <t>Perfuzori  6gab, + turētājskapis</t>
  </si>
  <si>
    <t>SIA "B.Braun Medical"</t>
  </si>
  <si>
    <t>SIA "Amerikas Baltijas Tehnoloģiju Korporācija"</t>
  </si>
  <si>
    <t>SIA "Starsted"</t>
  </si>
  <si>
    <t>Medikamentu šķīdumu dozātors (infūzijas sūkņi)</t>
  </si>
  <si>
    <t>Monitors ar hemodinamikas monitoru un piederumiem</t>
  </si>
  <si>
    <t>Gulta ar piederumiem un  matraci</t>
  </si>
  <si>
    <t>SIA "Rīgas 1.Slimnīca"</t>
  </si>
  <si>
    <t>Budžeta kods</t>
  </si>
  <si>
    <t>C-NVD-1</t>
  </si>
  <si>
    <t>A3 printeris, medicīnas vēstures drukai</t>
  </si>
  <si>
    <t>C-NVD-2</t>
  </si>
  <si>
    <t>Norobežojošo sienu izveide</t>
  </si>
  <si>
    <t>AS Kesko Senukai Latvia</t>
  </si>
  <si>
    <t>C-NVD-3</t>
  </si>
  <si>
    <t>Liftu, telpu, grīdu marķēšana, covid ierobežojumu paziņojumi</t>
  </si>
  <si>
    <t>TEN23-21</t>
  </si>
  <si>
    <t>02.02.2021.</t>
  </si>
  <si>
    <t>SIA TENTI LV</t>
  </si>
  <si>
    <t>C-NVD-4</t>
  </si>
  <si>
    <t>Ūdenī šķīstošie atkritumu maisi (120-150l)</t>
  </si>
  <si>
    <t>C-NVD-5</t>
  </si>
  <si>
    <t>Atkritumu tvertnes ar pedāli (50l)</t>
  </si>
  <si>
    <t>C-NVD-6</t>
  </si>
  <si>
    <t>Līķu maisi</t>
  </si>
  <si>
    <t>C-NVD-7</t>
  </si>
  <si>
    <t>C-NVD-8</t>
  </si>
  <si>
    <t>Mākslīgās plaušu ventilācijas (MPV) iekārtas ar neinvazīvās ventilācijas režīmu un High flow režīmu</t>
  </si>
  <si>
    <t>C-NVD-9</t>
  </si>
  <si>
    <t>Transporta MPV iekārtas</t>
  </si>
  <si>
    <t>ARB107312</t>
  </si>
  <si>
    <t>26.02.2021.</t>
  </si>
  <si>
    <t>SIA Arbor Medical korporācija</t>
  </si>
  <si>
    <t>C-NVD-10</t>
  </si>
  <si>
    <t>Portatīvie pacientu monitori ar statīvu</t>
  </si>
  <si>
    <t>C-NVD-11</t>
  </si>
  <si>
    <t>Defibrilatori</t>
  </si>
  <si>
    <t>C-NVD-12</t>
  </si>
  <si>
    <t>C-NVD-13</t>
  </si>
  <si>
    <t>284913 BLV</t>
  </si>
  <si>
    <t>16.02.2021.</t>
  </si>
  <si>
    <t>SIA B.BRAUN MEDICAL</t>
  </si>
  <si>
    <t>C-NVD-14</t>
  </si>
  <si>
    <t>Barošanas sūkņi</t>
  </si>
  <si>
    <t>C-NVD-15</t>
  </si>
  <si>
    <t>C-NVD-16</t>
  </si>
  <si>
    <t>Infūzijas statīvi</t>
  </si>
  <si>
    <t>KJS 210418</t>
  </si>
  <si>
    <t>16.03.2021.</t>
  </si>
  <si>
    <t>SIA KJ Serviss</t>
  </si>
  <si>
    <t>C-NVD-17</t>
  </si>
  <si>
    <t>Pulsa oksimetri</t>
  </si>
  <si>
    <t>C-NVD-18</t>
  </si>
  <si>
    <t>Vakuumsūkņi</t>
  </si>
  <si>
    <t>KJS 210267</t>
  </si>
  <si>
    <t>18.02.2021.</t>
  </si>
  <si>
    <t>C-NVD-19</t>
  </si>
  <si>
    <t>Portatīvs elektrokardiogrāfs</t>
  </si>
  <si>
    <t>ELPA 020678</t>
  </si>
  <si>
    <t>15.02.2021.</t>
  </si>
  <si>
    <t>SIA NMS ELPA</t>
  </si>
  <si>
    <t>C-NVD-20</t>
  </si>
  <si>
    <t>Ultrasonogrāfijas iekārta</t>
  </si>
  <si>
    <t>C-NVD-21</t>
  </si>
  <si>
    <t>Pārvietojama, digitāla rentgeniekārta</t>
  </si>
  <si>
    <t>C-NVD-22</t>
  </si>
  <si>
    <t>Flovmetri ar mitrinātāju</t>
  </si>
  <si>
    <t>ELPA 020567</t>
  </si>
  <si>
    <t>04.02.2021.</t>
  </si>
  <si>
    <t>C-NVD-23</t>
  </si>
  <si>
    <t>Ledusskapji medikamentiem</t>
  </si>
  <si>
    <t>KJS 210420</t>
  </si>
  <si>
    <t>C-NVD-24</t>
  </si>
  <si>
    <t>Asins gāzu analizators</t>
  </si>
  <si>
    <t>24.02.2021.</t>
  </si>
  <si>
    <t>C-NVD-25</t>
  </si>
  <si>
    <t>Saspiestā gaisa pievads</t>
  </si>
  <si>
    <t>146/2021</t>
  </si>
  <si>
    <t>C-NVD-26</t>
  </si>
  <si>
    <t>Skābekļa izvada izveide piepacienta gultas</t>
  </si>
  <si>
    <t>C-NVD-27</t>
  </si>
  <si>
    <t>Papildus guļrati</t>
  </si>
  <si>
    <t>C-NVD-28</t>
  </si>
  <si>
    <t>Papildus sēdrati</t>
  </si>
  <si>
    <t>ELPA020850</t>
  </si>
  <si>
    <t>11.03.2021.</t>
  </si>
  <si>
    <t>C-NVD-29</t>
  </si>
  <si>
    <t>Vienreizlietojamās medicīnas piederumi</t>
  </si>
  <si>
    <t>C-NVD-31</t>
  </si>
  <si>
    <t>UPS barošanas iekārta</t>
  </si>
  <si>
    <t>C-NVD-32</t>
  </si>
  <si>
    <t>Bezvadu tīkla iekārta:</t>
  </si>
  <si>
    <t>21/01/029OPT</t>
  </si>
  <si>
    <t>21.01.2021.</t>
  </si>
  <si>
    <t>SIA "OptiCom"</t>
  </si>
  <si>
    <t>C-NVD-33</t>
  </si>
  <si>
    <t>Tīkla komutators</t>
  </si>
  <si>
    <t>C-NVD-34</t>
  </si>
  <si>
    <t xml:space="preserve">Multifunkcionālā drukas iekārta </t>
  </si>
  <si>
    <t>IBS218956</t>
  </si>
  <si>
    <t>IB SERVISS SIA</t>
  </si>
  <si>
    <t>C-NVD-35</t>
  </si>
  <si>
    <t>Datortīkla ierīkošanas materiāli (kabeļi, konektori, adapteri u.c.)</t>
  </si>
  <si>
    <t>MSR128564</t>
  </si>
  <si>
    <t>22.03.2021.</t>
  </si>
  <si>
    <t>SIA Multisistēma Rīga</t>
  </si>
  <si>
    <t>C-NVD-36</t>
  </si>
  <si>
    <t>Radiotelefons</t>
  </si>
  <si>
    <t>MSR128074</t>
  </si>
  <si>
    <t>22.01.2021.</t>
  </si>
  <si>
    <t>C-NVD-37</t>
  </si>
  <si>
    <t>Nerūsējoša tērauda ratiņi ar ritenīšiem</t>
  </si>
  <si>
    <t>28.01.2021.</t>
  </si>
  <si>
    <t>SIA AJ Produkti</t>
  </si>
  <si>
    <t>C-NVD-38</t>
  </si>
  <si>
    <t>Pacientu monitori</t>
  </si>
  <si>
    <t>C-NVD-39</t>
  </si>
  <si>
    <t>C-NVD-40</t>
  </si>
  <si>
    <t>Mākslīgā plaušu ventilācijas iekārta</t>
  </si>
  <si>
    <t>C-NVD-41</t>
  </si>
  <si>
    <t>Vakuumsūknis</t>
  </si>
  <si>
    <t>C-NVD-42</t>
  </si>
  <si>
    <t>Higēnisko priekšmetu mazgāšanas-dezinfekcijas iekārta</t>
  </si>
  <si>
    <t>C-NVD-43</t>
  </si>
  <si>
    <t>Pacientu skapīši ar ēdināšanas dēli</t>
  </si>
  <si>
    <t>C-NVD-44</t>
  </si>
  <si>
    <t>Funkcionālā pacientu gulta</t>
  </si>
  <si>
    <t>C-NVD-45</t>
  </si>
  <si>
    <t>C-NVD-46</t>
  </si>
  <si>
    <t>Pasīvais pretizgulējumu matracis</t>
  </si>
  <si>
    <t>C-NVD-47</t>
  </si>
  <si>
    <t>Aktīvais pretizgulējumu matracis</t>
  </si>
  <si>
    <t>C-NVD-48</t>
  </si>
  <si>
    <t>Pacienta transporta rati</t>
  </si>
  <si>
    <t>C-NVD-49</t>
  </si>
  <si>
    <t>Bronhoskops</t>
  </si>
  <si>
    <t>C-NVD-50</t>
  </si>
  <si>
    <t>Aktīvais/pasīvais trenažieris</t>
  </si>
  <si>
    <t>C-NVD-51</t>
  </si>
  <si>
    <t>C-NVD-52</t>
  </si>
  <si>
    <t>Alumīnija siena operāciju blokā</t>
  </si>
  <si>
    <t>C-NVD-53</t>
  </si>
  <si>
    <t>Durvju zvans - bezvada</t>
  </si>
  <si>
    <t>C-NVD-54</t>
  </si>
  <si>
    <t>Video novērošanas kameras palātās</t>
  </si>
  <si>
    <t>C-NVD-55</t>
  </si>
  <si>
    <t>Video ieraksta servera dators, ekrāns</t>
  </si>
  <si>
    <t>C-NVD-56</t>
  </si>
  <si>
    <t>Darbinieku atpūtas telpas iekārtošana</t>
  </si>
  <si>
    <t>C-NVD-57</t>
  </si>
  <si>
    <t>Māsu posteņa aizsargstikls</t>
  </si>
  <si>
    <t>TEN21-21</t>
  </si>
  <si>
    <t>C-NVD-58</t>
  </si>
  <si>
    <t>Palātu / Pacientu informatīvais sienas monitors (māsu postenis)</t>
  </si>
  <si>
    <t>C-NVD-59</t>
  </si>
  <si>
    <t>Ventilācijas iekārta</t>
  </si>
  <si>
    <t>C-NVD-60</t>
  </si>
  <si>
    <t>Grīdas uzkopšanas mašīna</t>
  </si>
  <si>
    <t>C-NVD-61</t>
  </si>
  <si>
    <t>Spilvens</t>
  </si>
  <si>
    <t>C-NVD-62</t>
  </si>
  <si>
    <t>Sega</t>
  </si>
  <si>
    <t>C-NVD-63</t>
  </si>
  <si>
    <t>Matraču aizsargs</t>
  </si>
  <si>
    <t>C-NVD-64</t>
  </si>
  <si>
    <t>Dušas krēsls</t>
  </si>
  <si>
    <t>C-NVD-65</t>
  </si>
  <si>
    <t>Dušas guļrati</t>
  </si>
  <si>
    <t>C-NVD-66</t>
  </si>
  <si>
    <t>Slīddēlis</t>
  </si>
  <si>
    <t>C-NVD-67</t>
  </si>
  <si>
    <t>Galvas mazgāšanas vanna</t>
  </si>
  <si>
    <t>C-NVD-68</t>
  </si>
  <si>
    <t>Teleskopiskais aizslietnis</t>
  </si>
  <si>
    <t>C-NVD-69</t>
  </si>
  <si>
    <t>Mikroviļņu krāsns</t>
  </si>
  <si>
    <t>26.01.2021.</t>
  </si>
  <si>
    <t>SIA "Liepājas reģionālā slimnīca"</t>
  </si>
  <si>
    <t>COVID nodaļas pacientu temperatūras sensori, oksimetri un pieslēgšana monitorēšanas stacijai (distancēta nepārtraukta novērošana)</t>
  </si>
  <si>
    <t>Mesh-membrānas inhalatori</t>
  </si>
  <si>
    <t>REM 15746</t>
  </si>
  <si>
    <t>SIA "Remedine"</t>
  </si>
  <si>
    <t>03250,
04566</t>
  </si>
  <si>
    <t>EKG iekārtas vadu komplekts</t>
  </si>
  <si>
    <t>Pacienta monitoringa iekārta (uzņemšanas nodaļa)</t>
  </si>
  <si>
    <t xml:space="preserve">Pacienta monitoringa vadu komplekti </t>
  </si>
  <si>
    <t>Gaisa dezinfekcijas iekārta (ozona ģeneratori)</t>
  </si>
  <si>
    <t>R2010120-2</t>
  </si>
  <si>
    <t>20.01.2021.</t>
  </si>
  <si>
    <t>SIA "UMT"</t>
  </si>
  <si>
    <t>02234</t>
  </si>
  <si>
    <t>Skābekļa koncentrācijas mērītājs (centrālā nodaļai)</t>
  </si>
  <si>
    <t>SIA "Jelgavas pilsētas slimnīca"</t>
  </si>
  <si>
    <t>15.12.2020.</t>
  </si>
  <si>
    <t>20.04.2021.</t>
  </si>
  <si>
    <t>NVD-2/188-2021</t>
  </si>
  <si>
    <t>neveiksim iegādi</t>
  </si>
  <si>
    <t>TR210050</t>
  </si>
  <si>
    <t>09.04.2021.</t>
  </si>
  <si>
    <t>Tradintek SIA</t>
  </si>
  <si>
    <t>288264BLV</t>
  </si>
  <si>
    <t>21.04.2021.</t>
  </si>
  <si>
    <t>B.Braun Medical SIA</t>
  </si>
  <si>
    <t>GRAINALV135</t>
  </si>
  <si>
    <t>12.04.2021.</t>
  </si>
  <si>
    <t>UAB GRAINA Latvia- filiāle</t>
  </si>
  <si>
    <t>21-02311</t>
  </si>
  <si>
    <t>ARB 108871</t>
  </si>
  <si>
    <t>07.04.2021.</t>
  </si>
  <si>
    <t>21-02218</t>
  </si>
  <si>
    <t>ARB 109120</t>
  </si>
  <si>
    <t>14.04.2021.</t>
  </si>
  <si>
    <t>21-02308</t>
  </si>
  <si>
    <t>21-01928</t>
  </si>
  <si>
    <t>23.03.2021.</t>
  </si>
  <si>
    <t>SIA Linde Gas</t>
  </si>
  <si>
    <t>21-01978</t>
  </si>
  <si>
    <t>Zonde transezofagiālā</t>
  </si>
  <si>
    <t>medikamentu škidruma dozators, infuzors</t>
  </si>
  <si>
    <t>Sūknis zema vakuma</t>
  </si>
  <si>
    <t>Matracis, pretizgulējumu, dinamiskais</t>
  </si>
  <si>
    <t>AA221029</t>
  </si>
  <si>
    <t>22.04.2021.</t>
  </si>
  <si>
    <t>SIA AA Active</t>
  </si>
  <si>
    <t xml:space="preserve"> 18.01.2021.</t>
  </si>
  <si>
    <t>GRAINALV132</t>
  </si>
  <si>
    <t>06.04.2021.</t>
  </si>
  <si>
    <t>UAB GRAINA</t>
  </si>
  <si>
    <t>BAL2104/016</t>
  </si>
  <si>
    <t>15.04.2021.</t>
  </si>
  <si>
    <t>Baltronic SIA</t>
  </si>
  <si>
    <t>AMW-418</t>
  </si>
  <si>
    <t>SIA AMBERSOFA</t>
  </si>
  <si>
    <t>BIO 2021-111 BIO2021-117</t>
  </si>
  <si>
    <t>15.04.2021. 20.04.2021.</t>
  </si>
  <si>
    <t>Biotronik Baltija SIA</t>
  </si>
  <si>
    <t>852                       866</t>
  </si>
  <si>
    <t>TR211370</t>
  </si>
  <si>
    <t>26.04.2021.</t>
  </si>
  <si>
    <t>ARB 109618</t>
  </si>
  <si>
    <t>27.04.2021.</t>
  </si>
  <si>
    <t>ARB 109571</t>
  </si>
  <si>
    <t>23.04.2021.</t>
  </si>
  <si>
    <t>ARB 109208</t>
  </si>
  <si>
    <t>A.Medical SIA</t>
  </si>
  <si>
    <t>ELPA 021166</t>
  </si>
  <si>
    <t>NMS Elpa SIA</t>
  </si>
  <si>
    <t>ARB 109613</t>
  </si>
  <si>
    <t>ARB 109586</t>
  </si>
  <si>
    <t>SIA "Krāslavas slimnīca"</t>
  </si>
  <si>
    <t>288330BLV</t>
  </si>
  <si>
    <t>Medikamentu šķīdumu dozātors</t>
  </si>
  <si>
    <t>288331BLV</t>
  </si>
  <si>
    <t>Medikamentu škidruma dozators, infuzors</t>
  </si>
  <si>
    <t>ARB108829</t>
  </si>
  <si>
    <t>Arbor Medical Korporācija</t>
  </si>
  <si>
    <t>ARB108840</t>
  </si>
  <si>
    <t>Augstfrekvences ventilators ar piederumiem</t>
  </si>
  <si>
    <t>Elektrokardiostimulators ārējās stimulācijas</t>
  </si>
  <si>
    <t>Iekārta mazgāšanai / dezinfekcijai sanitāriem priekšmetiem</t>
  </si>
  <si>
    <t>Mazgāšanas - dezinficēšanas iekārta ar statīvu</t>
  </si>
  <si>
    <t>Gulta ar piederumiem un matraci</t>
  </si>
  <si>
    <t>Vakuma sūkņi</t>
  </si>
  <si>
    <t>Suknis zema vakuma</t>
  </si>
  <si>
    <t>Inkubators - termoskapis</t>
  </si>
  <si>
    <t>Termoskapis</t>
  </si>
  <si>
    <t>SIA "Tukuma slimnīca"</t>
  </si>
  <si>
    <t>GRAINALV130</t>
  </si>
  <si>
    <t>UAB GRAINA LATVIA- filiāle</t>
  </si>
  <si>
    <t>ARB 109809</t>
  </si>
  <si>
    <t>SIA ,,Arbor Medical Korporācija"</t>
  </si>
  <si>
    <t>,,Tradintek" SIA</t>
  </si>
  <si>
    <t>SIA ,,NMS Elpa"</t>
  </si>
  <si>
    <t>ARB 109810</t>
  </si>
  <si>
    <t>TR 211358</t>
  </si>
  <si>
    <t>MED 210898</t>
  </si>
  <si>
    <t>SIA ,,Medeksperts""</t>
  </si>
  <si>
    <t>TR211359</t>
  </si>
  <si>
    <t>SAR211041</t>
  </si>
  <si>
    <t>SIA Sarstedt</t>
  </si>
  <si>
    <t>ARB 109720</t>
  </si>
  <si>
    <t>GRAINALV134</t>
  </si>
  <si>
    <t>SIA ,,Dinmed"</t>
  </si>
  <si>
    <t>SIA ,,A.Medical"</t>
  </si>
  <si>
    <t>Elektrokardiostimulātors  ārējās stimulācijai</t>
  </si>
  <si>
    <t>funkcionālās gultas ar pretizgulējuma matraci</t>
  </si>
  <si>
    <t>Manipulāciju galdiņi</t>
  </si>
  <si>
    <t>Pacientu novērošanas monitori</t>
  </si>
  <si>
    <t>Perfuzori</t>
  </si>
  <si>
    <t>SIA Mediq Latvija</t>
  </si>
  <si>
    <t xml:space="preserve">SIA " Tradintek" </t>
  </si>
  <si>
    <t>Veicamie darbi (Intensīvās terapijas nodaļas paplašināšanai)</t>
  </si>
  <si>
    <t>Projektēšanai</t>
  </si>
  <si>
    <t>Būvuzraudzībai un būvdarbiem</t>
  </si>
  <si>
    <t>Veicamie darbi (Aptiekas noliktavas paplašināšanai)</t>
  </si>
  <si>
    <t>Iekārtas</t>
  </si>
  <si>
    <t>Plānotais skaits, vien.</t>
  </si>
  <si>
    <t xml:space="preserve">Summa, EUR </t>
  </si>
  <si>
    <t>Noliktavas telpu kvadratūra kvm</t>
  </si>
  <si>
    <t xml:space="preserve">Plauktu sistēmas </t>
  </si>
  <si>
    <t>Preču transportēšanas elektropacēlājs</t>
  </si>
  <si>
    <t>Darbinieku telpas ventilācijas sistēmas izbūve</t>
  </si>
  <si>
    <t>Intraaortālā balona kontrapulsācijas sistēma</t>
  </si>
  <si>
    <t>Augstfrekvences ventilātors ar piederumiem</t>
  </si>
  <si>
    <t>BIOTECHA LATVIA</t>
  </si>
  <si>
    <t>078523 30.04.21.</t>
  </si>
  <si>
    <t>ARBOR MEDICAL KORPORĀCIJA SIA</t>
  </si>
  <si>
    <t>ARB 108833</t>
  </si>
  <si>
    <t>TR 211283</t>
  </si>
  <si>
    <t>GRA 051283</t>
  </si>
  <si>
    <t>BG716871</t>
  </si>
  <si>
    <t>KAT21069</t>
  </si>
  <si>
    <t>BSL-042021-1</t>
  </si>
  <si>
    <t>Olympus Sverige Aktiebolag filiāle Latvijā</t>
  </si>
  <si>
    <t>TR 211284</t>
  </si>
  <si>
    <t>O21-000083259</t>
  </si>
  <si>
    <t>BDS 1171</t>
  </si>
  <si>
    <t>ARB 109415</t>
  </si>
  <si>
    <t>ARB 108963</t>
  </si>
  <si>
    <t>Arbor Medical Korporācija SIA</t>
  </si>
  <si>
    <t>NVD-2/154-2021</t>
  </si>
  <si>
    <t>Plānotais finansējums</t>
  </si>
  <si>
    <t>Pavadzīme</t>
  </si>
  <si>
    <t>Informācija par finanšu līdzekļu izlietojumu</t>
  </si>
  <si>
    <t>SIA Jēkabpils reģionālā slimnīca</t>
  </si>
  <si>
    <t>Maksājuma statuss</t>
  </si>
  <si>
    <t>Ir veikts</t>
  </si>
  <si>
    <t>Nav veikts</t>
  </si>
  <si>
    <t>Atsauce uz anotācijas pielikuma punktu</t>
  </si>
  <si>
    <t>Pavadzīmē norādītais ierīces nosaukums</t>
  </si>
  <si>
    <r>
      <t>Informācija par pasākumu izpildi:</t>
    </r>
    <r>
      <rPr>
        <sz val="12"/>
        <rFont val="Times New Roman"/>
        <family val="1"/>
        <charset val="186"/>
      </rPr>
      <t xml:space="preserve"> Ir pārprofilēta slimnīcas Bērnu nodaļa par Covid-19 nodaļu, izveidotas 20 gultas, pārprofilētas 20 Terapijas nodaļas gultas par Covid-19 gultām un 10 Ķirurģijas nodaļas gultas par Covid-19 gultām. Slimnīcā kopā ir pārfrofilētas 50  gultas Covid-19 pacientu ārstēšanai un medicīniskās iekārtas nepieciešamas  funkciju nodrošināšanai. </t>
    </r>
  </si>
  <si>
    <t xml:space="preserve">Komentārs par izpildes progresu </t>
  </si>
  <si>
    <t>Maksājuma status</t>
  </si>
  <si>
    <t>Ir veiks</t>
  </si>
  <si>
    <t>Ir samaksāts</t>
  </si>
  <si>
    <t>Nav samaksāts</t>
  </si>
  <si>
    <t>Informācija par finanšu līdzekļu izlietojums</t>
  </si>
  <si>
    <t xml:space="preserve">Ir veikts </t>
  </si>
  <si>
    <t>SIA "Jēkabpils reģionālā slimnīca"</t>
  </si>
  <si>
    <t>Liepājas reģionālā slimnīca</t>
  </si>
  <si>
    <t>Kopā:</t>
  </si>
  <si>
    <t>Strenču psihoneiroloģiskā slimnīca</t>
  </si>
  <si>
    <t>Slimnīca "Ģintermuiža"</t>
  </si>
  <si>
    <t>Daugavpils psihoneiroloģiskā slimnīca</t>
  </si>
  <si>
    <t>Piejūras slimnīca</t>
  </si>
  <si>
    <t>Rīgas psihiatrijas un narkoloģijas centrs</t>
  </si>
  <si>
    <t>Krāslavas slimnīca</t>
  </si>
  <si>
    <t>Tukuma slimnīca</t>
  </si>
  <si>
    <t>Alūksnes slimnīca</t>
  </si>
  <si>
    <t>Kuldīgas slimnīca</t>
  </si>
  <si>
    <t>Balvu un Gulbenes slimnīcu apvienība</t>
  </si>
  <si>
    <t>Ogres rajona slimnīca</t>
  </si>
  <si>
    <t>Jūrmalas slimnīca</t>
  </si>
  <si>
    <t>Dobeles un apkārtnes slimnīca</t>
  </si>
  <si>
    <t>Madonas slimnīca</t>
  </si>
  <si>
    <t>Rēzeknes slimnīca</t>
  </si>
  <si>
    <t>Jēkabpils reģionālā slimnīca</t>
  </si>
  <si>
    <t>Jelgavas pilsētas slimnīca</t>
  </si>
  <si>
    <t>Ziemeļkurzemes reģionālā slimnīca</t>
  </si>
  <si>
    <t>Daugavpils reģionālā slimnīca</t>
  </si>
  <si>
    <t>Rīgas Austrumu klīniskā universitātes slimnīca</t>
  </si>
  <si>
    <t>Paula Stradiņa klīniskā universitātes slimnīca</t>
  </si>
  <si>
    <t>Ārstniecības iestādes nosaukums</t>
  </si>
  <si>
    <t>Ziemeļkurzemes reģionālā slimnīca, Kopā</t>
  </si>
  <si>
    <t>II līmeņa intensīvā terapija</t>
  </si>
  <si>
    <t>03228</t>
  </si>
  <si>
    <t>I līmeņa intensīvā terapija</t>
  </si>
  <si>
    <t>03227</t>
  </si>
  <si>
    <t>Vidzemes slimnīca, Kopā</t>
  </si>
  <si>
    <t>Tukuma slimnīca, Kopā</t>
  </si>
  <si>
    <t>Traumatoloģijas un ortopēdijas slimnīca, Kopā</t>
  </si>
  <si>
    <t>Traumatoloģijas un ortopēdijas slimnīca</t>
  </si>
  <si>
    <t>Strenču psihoneiroloģiskā slimnīca, Kopā</t>
  </si>
  <si>
    <t>Rīgas Austrumu klīniskā universitātes slimnīca, Kopā</t>
  </si>
  <si>
    <t>III līmeņa intensīvā terapija</t>
  </si>
  <si>
    <t>03229</t>
  </si>
  <si>
    <t>Rīgas 2. slimnīca, Kopā</t>
  </si>
  <si>
    <t>Rīgas 2. slimnīca</t>
  </si>
  <si>
    <t>Rēzeknes slimnīca, Kopā</t>
  </si>
  <si>
    <t>Preiļu slimnīca, Kopā</t>
  </si>
  <si>
    <t>Paula Stradiņa klīniskā universitātes slimnīca, Kopā</t>
  </si>
  <si>
    <t>Ogres rajona slimnīca, Kopā</t>
  </si>
  <si>
    <t>Madonas slimnīca, Kopā</t>
  </si>
  <si>
    <t>Ludzas medicīnas centrs, Kopā</t>
  </si>
  <si>
    <t>Ludzas medicīnas centrs</t>
  </si>
  <si>
    <t>Liepājas reģionālā slimnīca, Kopā</t>
  </si>
  <si>
    <t>Kuldīgas slimnīca, Kopā</t>
  </si>
  <si>
    <t>Krāslavas slimnīca, Kopā</t>
  </si>
  <si>
    <t>Jūrmalas slimnīca, Kopā</t>
  </si>
  <si>
    <t>Jēkabpils pilsētas slimnīca, Kopā</t>
  </si>
  <si>
    <t>Jēkabpils pilsētas slimnīca</t>
  </si>
  <si>
    <t>Jelgavas pilsētas slimnīca, Kopā</t>
  </si>
  <si>
    <t>Dobeles un apkārtnes slimnīca, Kopā</t>
  </si>
  <si>
    <t>Daugavpils reģionālā slimnīca, Kopā</t>
  </si>
  <si>
    <t>Cēsu klīnika, Kopā</t>
  </si>
  <si>
    <t>Bērnu klīniskā universitātes slimnīca, Kopā</t>
  </si>
  <si>
    <t>Bērnu klīniskā universitātes slimnīca</t>
  </si>
  <si>
    <t>Bauskas slimnīca, Kopā</t>
  </si>
  <si>
    <t>Bauskas slimnīca</t>
  </si>
  <si>
    <t>Balvu un Gulbenes slimnīcu apvienība, Kopā</t>
  </si>
  <si>
    <t>Alūksnes slimnīca, Kopā</t>
  </si>
  <si>
    <t>Maijs</t>
  </si>
  <si>
    <t>Aprīlis</t>
  </si>
  <si>
    <t>Marts</t>
  </si>
  <si>
    <t>Manipulācijas nosaukums</t>
  </si>
  <si>
    <t>Manipulācijas kods</t>
  </si>
  <si>
    <t>Intensīvās terapijas piemaksas</t>
  </si>
  <si>
    <t>Nacionālais veselības dienests (observācijas piemaksas)</t>
  </si>
  <si>
    <t>Nacionālais veselības dienests (intensīvās terapijas piemaksas)</t>
  </si>
  <si>
    <t>Nacionālais veselības dienests (operatīvais datu panelis)</t>
  </si>
  <si>
    <t>21-02428</t>
  </si>
  <si>
    <t>SIA Tradintek</t>
  </si>
  <si>
    <t>TR 211390</t>
  </si>
  <si>
    <t>Maksājuma uzdevuma Nr.</t>
  </si>
  <si>
    <t>Iekārta 25.01.2021. saņemta bezatlīdzības lietošanā</t>
  </si>
  <si>
    <t>Iegādāts pirms MK lēmuma pieņemšanas datuma (summa, euro)</t>
  </si>
  <si>
    <t>Aizkari ar rāvējslēdzēju aprūpes vajadzībām</t>
  </si>
  <si>
    <t>Galds instrumentu, 3 plaukti</t>
  </si>
  <si>
    <t>Veikta gāzes centrāles nomaiņa</t>
  </si>
  <si>
    <t>Intensīvās aprūpes slimnīcu gulta Image 3</t>
  </si>
  <si>
    <t>Procedūru galds TYP 8</t>
  </si>
  <si>
    <t>Pacientu novērošanas monitors</t>
  </si>
  <si>
    <t xml:space="preserve">Augstas plūsmas skābekļa terapijas opcijas programnodrošinātājs </t>
  </si>
  <si>
    <t>1.pielikums</t>
  </si>
  <si>
    <t>6.pielikums</t>
  </si>
  <si>
    <t>10.pielikums</t>
  </si>
  <si>
    <t>11.pielikums</t>
  </si>
  <si>
    <t>079568 26.05.21.</t>
  </si>
  <si>
    <t>Farmācijas ledusskapis</t>
  </si>
  <si>
    <t>Laringoskopa komplekts (rokas)</t>
  </si>
  <si>
    <t>Ķirurģiskais vakuumsūknis</t>
  </si>
  <si>
    <t>ARB 109463</t>
  </si>
  <si>
    <t>SIA "Arbor Medaļā Korporācija"</t>
  </si>
  <si>
    <t>06835</t>
  </si>
  <si>
    <t>ARB 110723</t>
  </si>
  <si>
    <t>07808</t>
  </si>
  <si>
    <t>MPV kontūras (vent. Iekārtām - daudzreiz lietojamas)</t>
  </si>
  <si>
    <t>ARB 110017</t>
  </si>
  <si>
    <r>
      <t xml:space="preserve">Informācija par pasākumu izpildi:
</t>
    </r>
    <r>
      <rPr>
        <sz val="12"/>
        <color theme="1"/>
        <rFont val="Times New Roman"/>
        <family val="1"/>
        <charset val="186"/>
      </rPr>
      <t>Jaunizveidoto 13 gultas vietu aprīkošana ar medicīnas aprīkojumu Covid-19 pacientu ārstēšanai (NMP nodaļa - B korpuss 1.st.) - 5 vienvietīgas palātas, 1 septiņvietīga</t>
    </r>
  </si>
  <si>
    <t>Ozona gaisa attīrītājs</t>
  </si>
  <si>
    <t>Aerogen sākuma komplekts un Aerogen SOLO USB sākuma komplekts (inhalatori)</t>
  </si>
  <si>
    <t>Monitora kabelis</t>
  </si>
  <si>
    <t>27.05.2021.</t>
  </si>
  <si>
    <t>10.05.2021.</t>
  </si>
  <si>
    <t>Pacienta kabelis, monitora kabelis</t>
  </si>
  <si>
    <t>Elpošanas kontūra komplekts ar mitrinātāju (atkārtoti lietojams)</t>
  </si>
  <si>
    <t>ELPA 021423</t>
  </si>
  <si>
    <t>ELPA 021287</t>
  </si>
  <si>
    <t>Pārvietojamie med. preču skapji</t>
  </si>
  <si>
    <t>BG 719465</t>
  </si>
  <si>
    <t>ELPA 021425</t>
  </si>
  <si>
    <t>ARB 110467</t>
  </si>
  <si>
    <t>ELPA 021288</t>
  </si>
  <si>
    <t>ARB 110378</t>
  </si>
  <si>
    <t>ABTK 211133</t>
  </si>
  <si>
    <t>SAR211038</t>
  </si>
  <si>
    <t>ARB 110025</t>
  </si>
  <si>
    <r>
      <t xml:space="preserve">Informācija par izpildi: </t>
    </r>
    <r>
      <rPr>
        <sz val="12"/>
        <color theme="1"/>
        <rFont val="Times New Roman"/>
        <family val="1"/>
      </rPr>
      <t xml:space="preserve">SIA "Ziemeļkurzemes reģionālā slimnīca" Ventspils slimnīcā pacientiem ar smagu slimības gaitu pārprofilētas 6 esošās III.līmeņa ITN gultas (Covid-19 pacientiem); papildus izveidotas 3 II. līmeņa intensīvās terapijas gultas (ne-Covid pacientiem, pārprofilējot observācijas gultas) un 4 I.līmeņa  intensīvās terapijas gultas (Covid-19 pacientiem). Kopā slimnīcā pieejamas  10 ITN I. līmeņa gultas (t.sk.- 4 Covid-19 pacientiem un 6 Insulta vienības pacientiem Neirloģijas nodaļā).  Šobrīd notiek aprīkojuma iegāde, lai varētu papildus ierīkot 3 ITN I. līmeņa gultas un 1 ITN II. līmeņa gultu, kā arī nodrošināt papildu aprīkojumu jau esošajām gultām. Līdz ar to šajā piešķīrumā paredzētie līdzekļi kopā ar iepriekšējos piešķīrumos iegādāto nodrošinās nepieciešamo aprīkojumu 23 ITN gultām. </t>
    </r>
  </si>
  <si>
    <r>
      <rPr>
        <b/>
        <u/>
        <sz val="12"/>
        <rFont val="Times New Roman"/>
        <family val="1"/>
      </rPr>
      <t xml:space="preserve">Pacientiem ar vidēju slimības gaitu </t>
    </r>
    <r>
      <rPr>
        <sz val="12"/>
        <rFont val="Times New Roman"/>
        <family val="1"/>
      </rPr>
      <t xml:space="preserve">pārprofilētas 20 gultas Paliatīvajā nodaļā (17 paliatīvās aprūpes gultas un 3 hronisko pacientu gultas), kas kopā ar 20 esošajām Infekciju nodaļas gultām šobrīd nodrošina 40 gultas vietas Covid-19 pacientiem. Nepieciešamības gadījumā iespējams pārprofilēt arī Kardioloģijas nodaļu (16 gultas) par tranzītnodaļu pacientiem, kam tiek gaidītas Covid-19 analīzes, kā tas jau tika veikts ziemas periodā. 1. un 2. piešķīrumā iegādātais aprīkojums kopā ar šajā piešķīrumā iegādāto/paredzēto aprīkojumu nodrošinās 56 gultas Covid-19 un tranzītpacientiem.  Papildus daļa no pirmās nepieciešamības aprīkojuma novirzīta speciāli pielāgotajām palātām Covid-19 pacientu stacionēšanai atsevišķās nodaļās - Ķirurģijas (2 gultas), Dzemdību (1), Ginekoloģijas (2), Bērnu (2), Hemodialīzes (1) un Neiroloģijas (4) nodaļās, tādējādi nodrošinot vēl vismaz 12 gultas Covid-19 pacientu un/vai tranzītpacientu ārstēšanai. </t>
    </r>
  </si>
  <si>
    <t>Statīvs dezinfekcijas līdzekļu dozatoram</t>
  </si>
  <si>
    <t>Aizslietnis</t>
  </si>
  <si>
    <t>Segas, spilveni</t>
  </si>
  <si>
    <t>Flaneļa segas</t>
  </si>
  <si>
    <t>Nerūsējošā tērauda ledusskapis</t>
  </si>
  <si>
    <t>078519 30.04.2021.</t>
  </si>
  <si>
    <t>Elektrokardiogrāfs</t>
  </si>
  <si>
    <t>Vakuma sūknis</t>
  </si>
  <si>
    <t>Dialīzes iekārta (MultifiltratePRO)</t>
  </si>
  <si>
    <t>Uzkopšanas rati (Compakt cleaning troley pluss)</t>
  </si>
  <si>
    <t>Attīrīšanas bokss Covid-19 eksprestestu iekārtai (UVC/T-AR, PCR Bokss)</t>
  </si>
  <si>
    <t>Halāti</t>
  </si>
  <si>
    <t>Dvielis, spilvendrāna, palags, virspalags, puspalags, autiņš</t>
  </si>
  <si>
    <t>Pacientu skapītis</t>
  </si>
  <si>
    <t>Funkcionālā pacientu INT gulta</t>
  </si>
  <si>
    <t>Augstas plūsmas skābekļa terapijas opcijas programnodrošinātājs  (HFOT)</t>
  </si>
  <si>
    <t>Guļrati</t>
  </si>
  <si>
    <t>Veļas mazgājamā mašīna</t>
  </si>
  <si>
    <t>Termokastes</t>
  </si>
  <si>
    <t>Elektriski regulējamas pacientu gultas</t>
  </si>
  <si>
    <t>Pārvietojams medikamentu un medikamentu aprīkojuma skapis</t>
  </si>
  <si>
    <t>Enterālās barošanas sūkņi (Flovcare Infinity)</t>
  </si>
  <si>
    <t>Asins komponentu atkausēšanas iekārta</t>
  </si>
  <si>
    <t>ELPA021336</t>
  </si>
  <si>
    <t>12.05.2021.</t>
  </si>
  <si>
    <t>ARB110041</t>
  </si>
  <si>
    <t>Arbor medical korporācija sia</t>
  </si>
  <si>
    <t>ARB110602</t>
  </si>
  <si>
    <t>07.05.2021.</t>
  </si>
  <si>
    <t>ARB109919</t>
  </si>
  <si>
    <t>Automātiska virsmu dezinfekcijas iekārta</t>
  </si>
  <si>
    <t>Elektroniskais mitrinātājs, sildītājs</t>
  </si>
  <si>
    <t>Vakuumsūknis ar piederumiem</t>
  </si>
  <si>
    <t>Perfuzors (Perfuzor Compact PLUS)</t>
  </si>
  <si>
    <t>Dinamiskais pretizgulējumu matracis</t>
  </si>
  <si>
    <t>Mākslīgās plaušu ventilācijas iekārta</t>
  </si>
  <si>
    <t>Rentgena aizsargslietnis</t>
  </si>
  <si>
    <t>Augstas plūsmas skābekļa terapijas opcijas programnodrošinātājs (HFOT)</t>
  </si>
  <si>
    <t>Arbor medical korporācija SIA</t>
  </si>
  <si>
    <t>TR 211412</t>
  </si>
  <si>
    <t>ELPA 021344</t>
  </si>
  <si>
    <t>ELPA 021441</t>
  </si>
  <si>
    <t>ARB 110321</t>
  </si>
  <si>
    <t>TR 211413</t>
  </si>
  <si>
    <t>DIN210500003</t>
  </si>
  <si>
    <t>AM210500425</t>
  </si>
  <si>
    <t>MQ-085534</t>
  </si>
  <si>
    <t>Vakuumasūknis ar pedāli</t>
  </si>
  <si>
    <t>Mazgāšanas iekārta</t>
  </si>
  <si>
    <t>Procedūru rati stumjami</t>
  </si>
  <si>
    <t>Infūzijas sūknis</t>
  </si>
  <si>
    <t>Vakuma sūknis ar tvertni</t>
  </si>
  <si>
    <t>Perfuzors un turētājskapis</t>
  </si>
  <si>
    <t>Transporta plaušu mākslīgās ventilācijas iekārta</t>
  </si>
  <si>
    <t>Higiēnas priekšmetu mazgāšanas un dezinfekcijas iekārta</t>
  </si>
  <si>
    <t>Videolaringoskops</t>
  </si>
  <si>
    <t>Portatīva ultrasonogrāfijas iekārta</t>
  </si>
  <si>
    <t>Asins plazmas atkausētājs ar piederumiem</t>
  </si>
  <si>
    <t>Medikamentu šķidruma dozators</t>
  </si>
  <si>
    <t>UAB Slaugivita</t>
  </si>
  <si>
    <t>26.05.2021.</t>
  </si>
  <si>
    <t>LATO 00056</t>
  </si>
  <si>
    <t>SIA OLNIS</t>
  </si>
  <si>
    <t>11.05.2021.</t>
  </si>
  <si>
    <t>OLN32-21</t>
  </si>
  <si>
    <t>BG 717821</t>
  </si>
  <si>
    <t>Fysioline Latvia</t>
  </si>
  <si>
    <t>24.05.2021.</t>
  </si>
  <si>
    <t>INVLV01-00000061</t>
  </si>
  <si>
    <t>A.Medical</t>
  </si>
  <si>
    <t>AM210500515</t>
  </si>
  <si>
    <t>20.05.2021.</t>
  </si>
  <si>
    <t>AM210500387</t>
  </si>
  <si>
    <t>SIA MULTICORE</t>
  </si>
  <si>
    <t>05.05.2021.</t>
  </si>
  <si>
    <t>MCR 210411</t>
  </si>
  <si>
    <t>Preces/pakalpojumi saņēmtas un samaksātas . Rēķina PVN daļa.</t>
  </si>
  <si>
    <t>Apmaksas summa  iekļauj daudz dokumentu  ( pielikumā maksājuma atšifrējums). Preces saņēmtas un samaksātas.</t>
  </si>
  <si>
    <t>starpība</t>
  </si>
  <si>
    <t>Monitors</t>
  </si>
  <si>
    <t>Kabeļi</t>
  </si>
  <si>
    <t>Higiēnisko priekšmetu mazgāšanas un dezinfekcijas iekārta</t>
  </si>
  <si>
    <t>Aktīvā/pasīvā trenažiera sastāvdaļas</t>
  </si>
  <si>
    <t>grīdas uzkopšanas mašīna ar piederumiem</t>
  </si>
  <si>
    <t>Komutators</t>
  </si>
  <si>
    <t>Matrača aizsargpārvalks ar rāvējslēdžeju</t>
  </si>
  <si>
    <t>Piepūšams baseins/galvas mazgāšanas vanna</t>
  </si>
  <si>
    <t>Infūzijas sūknis ar barošanas funkciju</t>
  </si>
  <si>
    <t>Dīvāni</t>
  </si>
  <si>
    <t>UPS BAROŠANAS IEKĀRTA</t>
  </si>
  <si>
    <t>Nerūsējoša tērauda ratiņi pārvadāšanai</t>
  </si>
  <si>
    <t>Mākslīgās plaušu ventilācijas iekārtas (transporta) ar piederumiem</t>
  </si>
  <si>
    <t>Perfuzors</t>
  </si>
  <si>
    <t>Barošanas sūknis</t>
  </si>
  <si>
    <t>drukas iekārta</t>
  </si>
  <si>
    <t>Norobežojošo sienu izveidei nepieciešamo detaļu iegāde (reģipsis, skrūves, dībeļi u.c.)</t>
  </si>
  <si>
    <t>Telefons</t>
  </si>
  <si>
    <t>pacienta transporta sēdrati</t>
  </si>
  <si>
    <t>flomometrs ar mitrinātāju</t>
  </si>
  <si>
    <t>Medicīniskā saspiestā gaisa pievada izbūve</t>
  </si>
  <si>
    <t>Asins gdzu, elektrolTtu un metabolTtu analizators ar visiem piederumiem</t>
  </si>
  <si>
    <t>COVID-19 paziņojuma stends</t>
  </si>
  <si>
    <t>Nepārtrauktās nieru aizstājterapijas iekārta</t>
  </si>
  <si>
    <t>Fibrooptiskais endoskops ar portatīvo gaismas avotu</t>
  </si>
  <si>
    <t>Ledusskapis laboratorijas</t>
  </si>
  <si>
    <t>Aizslietnis trīsdaļīgs</t>
  </si>
  <si>
    <t>Priekšapmaksa skābekļa sistēmas nodrošināšanai</t>
  </si>
  <si>
    <t>Izolācijas"Kapsulu" slimu ar Covid-19 pacientu transportēšanai</t>
  </si>
  <si>
    <t>Nano portatīvā rentgeniekārta</t>
  </si>
  <si>
    <t>Forsētā gaisa plūsmas pacientu sildīšanas iekārta</t>
  </si>
  <si>
    <t>ARB 110210</t>
  </si>
  <si>
    <t>13.05.2021.</t>
  </si>
  <si>
    <t>Avansa rēķins  PIEP7910 AM210500438</t>
  </si>
  <si>
    <t>14.04.2021. 25.05.2021.</t>
  </si>
  <si>
    <t>742                        1103</t>
  </si>
  <si>
    <t>ARB 109360 ARB 110211</t>
  </si>
  <si>
    <t>21.04.2021. 13.05.2021.</t>
  </si>
  <si>
    <t>867                      1087</t>
  </si>
  <si>
    <t>ARB 110777</t>
  </si>
  <si>
    <t>28.05.2021.</t>
  </si>
  <si>
    <t>ARB 110216</t>
  </si>
  <si>
    <t>453              1114                     612                       855</t>
  </si>
  <si>
    <t>OTTENSTEN LATVIA, SIA        Elme Messer L SIA</t>
  </si>
  <si>
    <t>08.03.2021.  31.05.2021. 20.04.2021.</t>
  </si>
  <si>
    <t>Avansa rēķins 49967    OTT165484 091-21059</t>
  </si>
  <si>
    <t xml:space="preserve">Maksājuma uzdevums </t>
  </si>
  <si>
    <t>RTG aizsargtērpu komplekts</t>
  </si>
  <si>
    <t>Pacientu novērošanas monitori ar visu nepieciešamo nodrošinājumu</t>
  </si>
  <si>
    <t>augstas plūsmas dezinfekcijas iekārta</t>
  </si>
  <si>
    <t>Padubju mazgāšanas un dezinfekcijas iekārta</t>
  </si>
  <si>
    <t>ārējais elektrokardiostimulators ar piederumiem un ievadslūžas</t>
  </si>
  <si>
    <t>Asins plazmas atkausēšanas iekārta</t>
  </si>
  <si>
    <t>Videolaringoskopa komplekts</t>
  </si>
  <si>
    <t>Rentgena staru aizsargslietnis</t>
  </si>
  <si>
    <t>Procedūru galds</t>
  </si>
  <si>
    <t>Nerūsējošā tērauda medikamentu skapis</t>
  </si>
  <si>
    <t>01.06.2021.</t>
  </si>
  <si>
    <t>290404 BLV</t>
  </si>
  <si>
    <t>290405 BLV</t>
  </si>
  <si>
    <t>290406 BLV</t>
  </si>
  <si>
    <t>SIA "Mediq Latvija"</t>
  </si>
  <si>
    <t>MDQ-085494</t>
  </si>
  <si>
    <t>Maksājuma uzdevums</t>
  </si>
  <si>
    <t>Aizskari</t>
  </si>
  <si>
    <t>Nepārtrauktā nieru aizstājējterapija</t>
  </si>
  <si>
    <t>jūnijs</t>
  </si>
  <si>
    <t>288540 BLV</t>
  </si>
  <si>
    <t>21.05.2021.</t>
  </si>
  <si>
    <t>ARB 110555</t>
  </si>
  <si>
    <t>UAB GRAINA LATVIA - filiāle</t>
  </si>
  <si>
    <t>GRAINALV157</t>
  </si>
  <si>
    <t>ARB 110539</t>
  </si>
  <si>
    <t>28.04.2021.</t>
  </si>
  <si>
    <t>ARB 109762</t>
  </si>
  <si>
    <t>ARB 110828</t>
  </si>
  <si>
    <t>288541 BLV</t>
  </si>
  <si>
    <t>19.05.2021.</t>
  </si>
  <si>
    <t>289767 BLV</t>
  </si>
  <si>
    <t>SIA Cēsu klīnika</t>
  </si>
  <si>
    <t>Pacientu norobežošanas aizskars</t>
  </si>
  <si>
    <t>Pacientu vitālo funkciju novērošanas monitors</t>
  </si>
  <si>
    <t>Nepārtrauktās nieru aizstājējterapijas iekārta</t>
  </si>
  <si>
    <t xml:space="preserve">Perfuzors </t>
  </si>
  <si>
    <t>Intensīvās terapijas pacientu gulta</t>
  </si>
  <si>
    <t>Procedūru galds/rati</t>
  </si>
  <si>
    <t>Mazgāšanas/dezinfekcijas iekārta sanitāriem priekšemtiem</t>
  </si>
  <si>
    <t>dozators</t>
  </si>
  <si>
    <t>ARB110673</t>
  </si>
  <si>
    <t>Altex SIA</t>
  </si>
  <si>
    <t>ALX0534/2021</t>
  </si>
  <si>
    <t>ARB110660</t>
  </si>
  <si>
    <t>Perfuzorori</t>
  </si>
  <si>
    <t>Transporta mākslīgā plaušu ventilācijas iekārta</t>
  </si>
  <si>
    <t>Gulta funkcionālā</t>
  </si>
  <si>
    <t>Iekārta mākslīgai elpināšanai/augstfrenkvences ventilators ar piederumiem</t>
  </si>
  <si>
    <t>dozators infuzoram</t>
  </si>
  <si>
    <t>perfuzors</t>
  </si>
  <si>
    <t>infuzomats</t>
  </si>
  <si>
    <t>Gulta un matracis dinamiskais</t>
  </si>
  <si>
    <t>Piederumi mākslīgās plaušu ventilācijas iekārtām (neinvazīvas) mitrinātāji</t>
  </si>
  <si>
    <t>Piederumi mākslīgās plaušu ventilācijas iekārtām (invazīvas) mitrinātāji</t>
  </si>
  <si>
    <t>Medicīniskās konsoles</t>
  </si>
  <si>
    <t>Infūzijas maisu sildītājs</t>
  </si>
  <si>
    <t>Sabiedrība ar ierobežotu atbildību "STEXKOM", reģ.Nr. 52403038701</t>
  </si>
  <si>
    <t>Ģeneratora piegāde un uzstādīšana</t>
  </si>
  <si>
    <t>Sabiedrība ar ierobežotu atbildību "OptiCom", 
reģ.Nr. 40003231409</t>
  </si>
  <si>
    <t>Pacientu monitoru sistēmas centralizēta slēguma izveide</t>
  </si>
  <si>
    <t>Augstākas caurplūdes skābekļa padeves cauruļvadu sistēmas izbūve starp centrālo tvertni, intensīvās terapijas nodaļu un infekcijas nodaļu</t>
  </si>
  <si>
    <t>Medicīniskā saspiestā gaisa sistēmas izbūve</t>
  </si>
  <si>
    <t>Datortomogrāfs</t>
  </si>
  <si>
    <t>Papildus materiāltehniskais aprīkojums</t>
  </si>
  <si>
    <t>Ekstrakorporālā nieru aizstājējterapijas iekārta</t>
  </si>
  <si>
    <t>Jaunu intensīvo terapijas gultu izveide</t>
  </si>
  <si>
    <t>Summa 
(ar PVN) EUR</t>
  </si>
  <si>
    <t>Plānotā summa 
(ar PVN), EUR</t>
  </si>
  <si>
    <t xml:space="preserve">Sabiedrība ar ierobežotu atbildību "RĒZEKNES SLIMNĪCA" </t>
  </si>
  <si>
    <t xml:space="preserve">Tradintek SIA </t>
  </si>
  <si>
    <t>TR211318</t>
  </si>
  <si>
    <t>Vyaire Medical Bellavista MPV iekārtas augstas plūsmas skābekļa terapijas funkcijas nodrošinātājs</t>
  </si>
  <si>
    <t>ĶULDĪGAS SLIMNĪCA" SIA</t>
  </si>
  <si>
    <t>Augstas plūsmas skābekļa funkcijas nodrošinātājs</t>
  </si>
  <si>
    <t>Finansējuma izlietojums, atbilstoši 2021.gada 11.februāra Ministru kabineta rīkojumam Nr.81 (prot. Nr. 14 7. §)</t>
  </si>
  <si>
    <t>jūlijs</t>
  </si>
  <si>
    <t>augusts</t>
  </si>
  <si>
    <r>
      <t xml:space="preserve">Piemaksas apjoms pieciem mēnešiem (aprīlis, maijs, jūnijs, jūlijs un augusts), </t>
    </r>
    <r>
      <rPr>
        <b/>
        <i/>
        <sz val="10"/>
        <color theme="1"/>
        <rFont val="Times New Roman"/>
        <family val="1"/>
      </rPr>
      <t>euro</t>
    </r>
  </si>
  <si>
    <r>
      <t xml:space="preserve">Piemaksas apjoms vienam mēnesim, </t>
    </r>
    <r>
      <rPr>
        <b/>
        <i/>
        <sz val="10"/>
        <color theme="1"/>
        <rFont val="Times New Roman"/>
        <family val="1"/>
      </rPr>
      <t>euro</t>
    </r>
  </si>
  <si>
    <r>
      <t xml:space="preserve">Piemaksu par pacientu veselības stāvokļa novērošanu uzņemšanas nodaļā apmērs 2021. gada augustā,  </t>
    </r>
    <r>
      <rPr>
        <sz val="10"/>
        <color theme="1"/>
        <rFont val="Times New Roman"/>
        <family val="1"/>
      </rPr>
      <t>atbilstoši 2018.gada 28.augusta Ministru kabineta noteikumu Nr.555 ”Veselības aprūpes pakalpojumu organizēšanas un samaksas kārtība" 254.2.apakšpunktam un 6.pielikumam</t>
    </r>
  </si>
  <si>
    <t>Kopā, euro</t>
  </si>
  <si>
    <t>Izlietojums  (NVD akceptētais atbilstoši līgumā  noteiktajam sadalījumam)</t>
  </si>
  <si>
    <t xml:space="preserve">Pielikums Nr.1
Veselības ministrijas pieprasījumam par apropriācijas izmaiņām     
</t>
  </si>
  <si>
    <t>Jūnijs</t>
  </si>
  <si>
    <t>Jūlijs</t>
  </si>
  <si>
    <t>Augusts</t>
  </si>
  <si>
    <t>Pavisam kopā, euro</t>
  </si>
  <si>
    <t>Iesniegts izskatīšanai FM</t>
  </si>
  <si>
    <t>23.03.3021.</t>
  </si>
  <si>
    <t>16.07.2021.</t>
  </si>
  <si>
    <t>21-04394</t>
  </si>
  <si>
    <t>SIA B.Braun Medical</t>
  </si>
  <si>
    <t>09.08.2021.</t>
  </si>
  <si>
    <t>BLV 294020</t>
  </si>
  <si>
    <t>21-03139</t>
  </si>
  <si>
    <t>31.05.2021.</t>
  </si>
  <si>
    <t>BLV 290365</t>
  </si>
  <si>
    <t>SIA MEDILINK</t>
  </si>
  <si>
    <t>06.07.2021.</t>
  </si>
  <si>
    <t xml:space="preserve"> reversais PVN no SIA Jēkabpils PMK būvdarbu izpildes 07-2021 </t>
  </si>
  <si>
    <t>NR.82507 07.09.2021</t>
  </si>
  <si>
    <t>Jēkabpils PMK SIA</t>
  </si>
  <si>
    <t>Aptieka Būvuzraudzībai un būvdarbiem</t>
  </si>
  <si>
    <t xml:space="preserve"> SIA Jēkabpils PMK būvdarbu izpilde 07-2021</t>
  </si>
  <si>
    <t>NR.82508 07.09.2021</t>
  </si>
  <si>
    <t>NR. 82412 16.08.2021</t>
  </si>
  <si>
    <t xml:space="preserve"> SIA P.M.G. būvuzraudzība  07-2021</t>
  </si>
  <si>
    <t>P.M.G.SIA</t>
  </si>
  <si>
    <t>148/0821</t>
  </si>
  <si>
    <t>11.08.21.082352</t>
  </si>
  <si>
    <t>05.07.21.080448</t>
  </si>
  <si>
    <t>GRAINA</t>
  </si>
  <si>
    <t>12.07.21.081268</t>
  </si>
  <si>
    <t>MEDILINK</t>
  </si>
  <si>
    <t>29.07.21.081674</t>
  </si>
  <si>
    <t>A.MEDICAL SIA</t>
  </si>
  <si>
    <t>11505</t>
  </si>
  <si>
    <t>R210716-2</t>
  </si>
  <si>
    <t xml:space="preserve">10.05.2021.
</t>
  </si>
  <si>
    <t>11503</t>
  </si>
  <si>
    <t>SIA "AB Medical group Riga"</t>
  </si>
  <si>
    <t>ABMG 211346</t>
  </si>
  <si>
    <t>09954</t>
  </si>
  <si>
    <t>ARB 111796</t>
  </si>
  <si>
    <t>SIA "Arbor Medical Korporācija", reģ. Nr. 40003547099</t>
  </si>
  <si>
    <t>04.08.2021.</t>
  </si>
  <si>
    <t>202108/01</t>
  </si>
  <si>
    <t>20.07.2021.</t>
  </si>
  <si>
    <t>21/07/047 OPT</t>
  </si>
  <si>
    <t>17.08.2021.</t>
  </si>
  <si>
    <t>ARB 113246</t>
  </si>
  <si>
    <t>ARB 109815</t>
  </si>
  <si>
    <t>ARB 111818</t>
  </si>
  <si>
    <t>291508 BLV</t>
  </si>
  <si>
    <t>ARB 111817</t>
  </si>
  <si>
    <t>291509 BLV</t>
  </si>
  <si>
    <t>OLV-21-000250</t>
  </si>
  <si>
    <t>PVN maksājums valsts budžetā</t>
  </si>
  <si>
    <t>KJS 210890</t>
  </si>
  <si>
    <t>ARB 111336</t>
  </si>
  <si>
    <t>ARB 111332</t>
  </si>
  <si>
    <t>R-31/2021</t>
  </si>
  <si>
    <t>PRGM301668</t>
  </si>
  <si>
    <t>PRGM301674</t>
  </si>
  <si>
    <t>ARB 111145</t>
  </si>
  <si>
    <t>ELPA 021689</t>
  </si>
  <si>
    <t>ELPA 021505</t>
  </si>
  <si>
    <t>ARB 114304</t>
  </si>
  <si>
    <t>ELPA021709</t>
  </si>
  <si>
    <t>SIA UniKon</t>
  </si>
  <si>
    <t>09.06.2021.</t>
  </si>
  <si>
    <t>U21 3407</t>
  </si>
  <si>
    <t>18.06.2021.</t>
  </si>
  <si>
    <t>KJS211007</t>
  </si>
  <si>
    <t>08.06.2021.</t>
  </si>
  <si>
    <t>PRGM302059</t>
  </si>
  <si>
    <t>02.08.2021.</t>
  </si>
  <si>
    <t>ELPA021799</t>
  </si>
  <si>
    <t>01.07.2021.</t>
  </si>
  <si>
    <t>ARB111858</t>
  </si>
  <si>
    <t>KJ Serviss SIA</t>
  </si>
  <si>
    <t>05.07.2021.</t>
  </si>
  <si>
    <t>KJS211068</t>
  </si>
  <si>
    <t>GRAINALV173</t>
  </si>
  <si>
    <t>09.07.2021.</t>
  </si>
  <si>
    <t>ARB112121</t>
  </si>
  <si>
    <t>04.06.2021.</t>
  </si>
  <si>
    <t>GRAINALV170</t>
  </si>
  <si>
    <t>30.06.2021.</t>
  </si>
  <si>
    <t>MDQ-000054513</t>
  </si>
  <si>
    <t>ARB 111926</t>
  </si>
  <si>
    <t>26.08.2021.</t>
  </si>
  <si>
    <t>ARB 113615</t>
  </si>
  <si>
    <t>ARB 113645</t>
  </si>
  <si>
    <t>SAR211449</t>
  </si>
  <si>
    <t>12.07.2021.</t>
  </si>
  <si>
    <t>TR211619</t>
  </si>
  <si>
    <t>21-01997</t>
  </si>
  <si>
    <t>KJS 210885</t>
  </si>
  <si>
    <t>21-01693</t>
  </si>
  <si>
    <t>23.07.2021.</t>
  </si>
  <si>
    <t>ARB 112608</t>
  </si>
  <si>
    <t>21-01988</t>
  </si>
  <si>
    <t>ARB 112610</t>
  </si>
  <si>
    <t>21-02027</t>
  </si>
  <si>
    <t>Amerikas Baltijas Tehnoloģiju Korporācija SIA</t>
  </si>
  <si>
    <t>ABTK 211508</t>
  </si>
  <si>
    <t>21-01750</t>
  </si>
  <si>
    <t>21-02389</t>
  </si>
  <si>
    <t>11.06.2021.</t>
  </si>
  <si>
    <t>KJS 210976</t>
  </si>
  <si>
    <t>21-01437</t>
  </si>
  <si>
    <t>21-01885</t>
  </si>
  <si>
    <t>21-02093</t>
  </si>
  <si>
    <t>ARB 111235</t>
  </si>
  <si>
    <t>21-02030</t>
  </si>
  <si>
    <t>ARB 11177</t>
  </si>
  <si>
    <t>21-01669</t>
  </si>
  <si>
    <t>21-02095</t>
  </si>
  <si>
    <t>07.06.2021.</t>
  </si>
  <si>
    <t>ELPA 021551</t>
  </si>
  <si>
    <t>22.06.2021.</t>
  </si>
  <si>
    <t>ARB 111604</t>
  </si>
  <si>
    <t>21-01692</t>
  </si>
  <si>
    <t>KJS 210886</t>
  </si>
  <si>
    <t>21-02379</t>
  </si>
  <si>
    <t>21-02565</t>
  </si>
  <si>
    <t>17.06.2021.</t>
  </si>
  <si>
    <t>02.09.2021.</t>
  </si>
  <si>
    <t>ARB111843</t>
  </si>
  <si>
    <t>10.06.2021.</t>
  </si>
  <si>
    <t>ARB111300</t>
  </si>
  <si>
    <t>KJS210977</t>
  </si>
  <si>
    <t>DINMED SIA</t>
  </si>
  <si>
    <t>DIN210600016</t>
  </si>
  <si>
    <t>ARB111760</t>
  </si>
  <si>
    <t>Pirms MK lēmuma pieņemšanas janvāris</t>
  </si>
  <si>
    <t>Pirms MK lēmuma pieņemšanas februāris</t>
  </si>
  <si>
    <t>Uz apmaksu virzāmā summa</t>
  </si>
  <si>
    <t>Piešķīrums atbilstoši 14.07.2021. FM rīkojumam Nr. 405, euro</t>
  </si>
  <si>
    <r>
      <t xml:space="preserve">Informācija par pasākuma izpildi: </t>
    </r>
    <r>
      <rPr>
        <sz val="12"/>
        <color theme="1"/>
        <rFont val="Times New Roman"/>
        <family val="1"/>
        <charset val="186"/>
      </rPr>
      <t xml:space="preserve"> Slimnīcā no 06.09.2021. ir kopumā pārprofilētas 30 gultas - atvērtas 27 gultas pacientiem ar vidēji smagu slimības gaitu un 3 gultas pacientiem ar smagu slimības gaitu. Atbilstoši pacientu plūsmai un to veselības stāvoklim, Slimnīca infrastruktūras un personāla kapacitātes ietvaros dinamiski pārskata gultu fonda noslodzi un to profilus.</t>
    </r>
  </si>
  <si>
    <t>Piešķīrums atbilstoši 14.07.2021. FM rīkojumam Nr. 405</t>
  </si>
  <si>
    <t>Pirms MK lēmuma pieņemšanas 2020.gada decembris</t>
  </si>
  <si>
    <t>septembris</t>
  </si>
  <si>
    <t>Portatīvs uzltrasonogrāfs</t>
  </si>
  <si>
    <t>Medicīniskais ledusskapis</t>
  </si>
  <si>
    <t>Virsmu dezinfekcijas iekārta</t>
  </si>
  <si>
    <t>Maksājuma uzdevums Nr.</t>
  </si>
  <si>
    <t>Intensīvās terpaijas nodaļas paplašināšanas darbi</t>
  </si>
  <si>
    <t>LĪGUMS ar SIA Jēkabpils PMK samaksa par apliecinājuma kartēm 91 200 EUR +reversais PVN 19 152 EUR</t>
  </si>
  <si>
    <t>Elektroniskais mitrinātājs plaušu mākslīgās ventilācijas iekārtām</t>
  </si>
  <si>
    <t>Apliecinājuma kartes izstrāde</t>
  </si>
  <si>
    <t>Projektēšanas darbi</t>
  </si>
  <si>
    <t>Defibrilators ar piederumiem</t>
  </si>
  <si>
    <t>Infūzijas sildītājs</t>
  </si>
  <si>
    <t>Centrālā darba stacija ar piederumiem</t>
  </si>
  <si>
    <t xml:space="preserve">Skābekļa koncentrācijas mērītājs </t>
  </si>
  <si>
    <t>Mitrinātājs</t>
  </si>
  <si>
    <t xml:space="preserve">monitora kabelis </t>
  </si>
  <si>
    <t>Uzkopšanas inventārs ar piederumiem</t>
  </si>
  <si>
    <t>Monitori</t>
  </si>
  <si>
    <t>Centrālā darba stacija ar monitoriem</t>
  </si>
  <si>
    <t>Krēsls WC ar regulējamu kāju balstu</t>
  </si>
  <si>
    <t>Staigāšanas rāmis</t>
  </si>
  <si>
    <t>Dušas krēsls ar transportēšanas funkciju</t>
  </si>
  <si>
    <t>Durvju nomaiņa</t>
  </si>
  <si>
    <t>Rentgenu komplekts plūsmu nodalīšanai</t>
  </si>
  <si>
    <t>Kardiopulmonālā iekārta</t>
  </si>
  <si>
    <t>Mazgāšanas/dezinfekcijas iekārta</t>
  </si>
  <si>
    <t>Medikamentu ledusskapis</t>
  </si>
  <si>
    <t>infūzijas sūkņi</t>
  </si>
  <si>
    <t>Funkcionāla gulta ar piederumiem un pasīvo pretizgulējumu matraci</t>
  </si>
  <si>
    <t>Pacienta mazgāšanas rati</t>
  </si>
  <si>
    <t>Saliekams treansportēšanas dēlis</t>
  </si>
  <si>
    <t>Funkcionālā aprūpes gulta</t>
  </si>
  <si>
    <t>Funkcionālā aprūpes gulta ar papildus aprīkojumu</t>
  </si>
  <si>
    <t>Pacienta skapis</t>
  </si>
  <si>
    <t>Tualetes- dušas krēsls ar riteņiem</t>
  </si>
  <si>
    <t>Pacientu monitors</t>
  </si>
  <si>
    <t>Germicīdā lampa</t>
  </si>
  <si>
    <t>Asins komponentu atkausētājs</t>
  </si>
  <si>
    <t>Matracis pretizgulējumu</t>
  </si>
  <si>
    <t>Portatīvais vakkumsūknis</t>
  </si>
  <si>
    <t xml:space="preserve">  intubāciju fibrobronhoskops</t>
  </si>
  <si>
    <t xml:space="preserve">Laringoskops </t>
  </si>
  <si>
    <t>Rentgenstarojuma aizsargslietnis</t>
  </si>
  <si>
    <t>Šīberu mazgāšanas iekārta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</si>
</sst>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.00;[Red]#,##0.00"/>
    <numFmt numFmtId="166" formatCode="_-* #,##0_-;\-* #,##0_-;_-* &quot;-&quot;??_-;_-@_-"/>
    <numFmt numFmtId="167" formatCode="_-* #,##0\ _€_-;\-* #,##0\ _€_-;_-* &quot;-&quot;??\ _€_-;_-@_-"/>
    <numFmt numFmtId="168" formatCode="#,##0;[Red]#,##0"/>
  </numFmts>
  <fonts count="5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i/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  <charset val="186"/>
    </font>
    <font>
      <sz val="11"/>
      <color theme="4" tint="-0.249977111117893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.5"/>
      <color theme="1"/>
      <name val="Times New Roman"/>
      <family val="1"/>
      <charset val="204"/>
    </font>
    <font>
      <sz val="11.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sz val="11.5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/>
    <xf numFmtId="0" fontId="30" fillId="0" borderId="0"/>
    <xf numFmtId="43" fontId="3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3" fontId="6" fillId="6" borderId="10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/>
    </xf>
    <xf numFmtId="3" fontId="0" fillId="4" borderId="10" xfId="0" applyNumberFormat="1" applyFill="1" applyBorder="1"/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center" vertical="top" wrapText="1"/>
    </xf>
    <xf numFmtId="0" fontId="6" fillId="5" borderId="10" xfId="0" applyFont="1" applyFill="1" applyBorder="1" applyAlignment="1">
      <alignment horizontal="left" vertical="center" wrapText="1"/>
    </xf>
    <xf numFmtId="14" fontId="6" fillId="5" borderId="10" xfId="0" applyNumberFormat="1" applyFont="1" applyFill="1" applyBorder="1" applyAlignment="1">
      <alignment horizontal="center" vertical="center" wrapText="1"/>
    </xf>
    <xf numFmtId="43" fontId="6" fillId="6" borderId="10" xfId="0" applyNumberFormat="1" applyFont="1" applyFill="1" applyBorder="1" applyAlignment="1">
      <alignment horizontal="center" vertical="center" wrapText="1"/>
    </xf>
    <xf numFmtId="14" fontId="6" fillId="6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vertical="top" wrapText="1"/>
    </xf>
    <xf numFmtId="0" fontId="0" fillId="0" borderId="10" xfId="0" applyBorder="1"/>
    <xf numFmtId="0" fontId="4" fillId="0" borderId="10" xfId="0" applyFont="1" applyBorder="1" applyAlignment="1">
      <alignment vertical="top" wrapText="1"/>
    </xf>
    <xf numFmtId="0" fontId="13" fillId="7" borderId="10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43" fontId="3" fillId="0" borderId="0" xfId="3" applyFont="1" applyAlignment="1">
      <alignment horizontal="right" vertical="top" wrapText="1"/>
    </xf>
    <xf numFmtId="0" fontId="17" fillId="0" borderId="0" xfId="0" applyFont="1" applyAlignment="1">
      <alignment vertical="top"/>
    </xf>
    <xf numFmtId="43" fontId="6" fillId="6" borderId="10" xfId="3" applyFont="1" applyFill="1" applyBorder="1" applyAlignment="1">
      <alignment horizontal="right" vertical="center" wrapText="1"/>
    </xf>
    <xf numFmtId="43" fontId="6" fillId="6" borderId="10" xfId="3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top" wrapText="1"/>
    </xf>
    <xf numFmtId="0" fontId="18" fillId="0" borderId="0" xfId="0" applyFont="1"/>
    <xf numFmtId="43" fontId="3" fillId="0" borderId="10" xfId="3" applyFont="1" applyBorder="1" applyAlignment="1">
      <alignment horizontal="right" vertical="top" wrapText="1"/>
    </xf>
    <xf numFmtId="43" fontId="4" fillId="0" borderId="0" xfId="3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10" xfId="0" applyBorder="1" applyAlignment="1">
      <alignment vertical="top" wrapText="1"/>
    </xf>
    <xf numFmtId="0" fontId="1" fillId="6" borderId="1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6" fillId="6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6" borderId="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vertical="center" wrapText="1"/>
    </xf>
    <xf numFmtId="4" fontId="6" fillId="6" borderId="7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4" borderId="1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22" fillId="0" borderId="0" xfId="0" applyFont="1"/>
    <xf numFmtId="0" fontId="12" fillId="4" borderId="10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top"/>
    </xf>
    <xf numFmtId="0" fontId="0" fillId="5" borderId="0" xfId="0" applyFill="1"/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2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43" fontId="3" fillId="0" borderId="0" xfId="0" applyNumberFormat="1" applyFont="1" applyFill="1" applyAlignment="1">
      <alignment vertical="top" wrapText="1"/>
    </xf>
    <xf numFmtId="43" fontId="6" fillId="5" borderId="10" xfId="3" applyFont="1" applyFill="1" applyBorder="1" applyAlignment="1">
      <alignment horizontal="center" vertical="center" wrapText="1"/>
    </xf>
    <xf numFmtId="4" fontId="0" fillId="0" borderId="0" xfId="0" applyNumberFormat="1" applyFill="1"/>
    <xf numFmtId="0" fontId="6" fillId="0" borderId="0" xfId="0" applyFont="1"/>
    <xf numFmtId="0" fontId="6" fillId="6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top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4" fontId="23" fillId="0" borderId="10" xfId="0" applyNumberFormat="1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2" fontId="6" fillId="6" borderId="7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vertical="top" wrapText="1"/>
    </xf>
    <xf numFmtId="0" fontId="29" fillId="0" borderId="10" xfId="0" applyFont="1" applyBorder="1" applyAlignment="1">
      <alignment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5" applyFont="1"/>
    <xf numFmtId="43" fontId="4" fillId="0" borderId="0" xfId="6" applyFont="1"/>
    <xf numFmtId="0" fontId="13" fillId="0" borderId="0" xfId="5" applyFont="1"/>
    <xf numFmtId="43" fontId="13" fillId="0" borderId="10" xfId="6" applyFont="1" applyBorder="1"/>
    <xf numFmtId="0" fontId="13" fillId="0" borderId="10" xfId="5" applyFont="1" applyBorder="1"/>
    <xf numFmtId="0" fontId="31" fillId="0" borderId="10" xfId="5" applyFont="1" applyBorder="1"/>
    <xf numFmtId="43" fontId="31" fillId="2" borderId="10" xfId="6" applyFont="1" applyFill="1" applyBorder="1"/>
    <xf numFmtId="0" fontId="31" fillId="2" borderId="10" xfId="5" applyFont="1" applyFill="1" applyBorder="1"/>
    <xf numFmtId="43" fontId="4" fillId="0" borderId="10" xfId="6" applyFont="1" applyBorder="1"/>
    <xf numFmtId="0" fontId="4" fillId="0" borderId="10" xfId="5" applyFont="1" applyBorder="1"/>
    <xf numFmtId="0" fontId="14" fillId="0" borderId="10" xfId="5" applyFont="1" applyBorder="1"/>
    <xf numFmtId="0" fontId="13" fillId="0" borderId="0" xfId="5" applyFont="1" applyAlignment="1">
      <alignment wrapText="1"/>
    </xf>
    <xf numFmtId="43" fontId="13" fillId="0" borderId="10" xfId="6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6" fillId="0" borderId="0" xfId="5" applyFont="1"/>
    <xf numFmtId="43" fontId="6" fillId="0" borderId="0" xfId="6" applyFont="1"/>
    <xf numFmtId="0" fontId="6" fillId="5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vertical="center" wrapText="1"/>
    </xf>
    <xf numFmtId="14" fontId="12" fillId="0" borderId="10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2" fontId="12" fillId="0" borderId="10" xfId="3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 wrapText="1"/>
    </xf>
    <xf numFmtId="2" fontId="12" fillId="0" borderId="10" xfId="0" applyNumberFormat="1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left" vertical="center" wrapText="1"/>
    </xf>
    <xf numFmtId="14" fontId="12" fillId="0" borderId="10" xfId="0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right" vertical="top" wrapText="1"/>
    </xf>
    <xf numFmtId="2" fontId="12" fillId="0" borderId="10" xfId="0" applyNumberFormat="1" applyFont="1" applyFill="1" applyBorder="1" applyAlignment="1">
      <alignment horizontal="right" vertical="top" wrapText="1"/>
    </xf>
    <xf numFmtId="165" fontId="6" fillId="6" borderId="10" xfId="0" applyNumberFormat="1" applyFont="1" applyFill="1" applyBorder="1" applyAlignment="1">
      <alignment horizontal="center" vertical="center"/>
    </xf>
    <xf numFmtId="4" fontId="6" fillId="6" borderId="7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vertical="top" wrapText="1"/>
    </xf>
    <xf numFmtId="0" fontId="13" fillId="4" borderId="10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vertical="top" wrapText="1"/>
    </xf>
    <xf numFmtId="4" fontId="3" fillId="4" borderId="10" xfId="0" applyNumberFormat="1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1" fillId="6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1" fillId="6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2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vertical="top" wrapText="1"/>
    </xf>
    <xf numFmtId="0" fontId="28" fillId="0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3" fontId="21" fillId="0" borderId="10" xfId="0" applyNumberFormat="1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10" xfId="0" applyFont="1" applyBorder="1" applyAlignment="1">
      <alignment vertical="center" wrapText="1"/>
    </xf>
    <xf numFmtId="164" fontId="36" fillId="0" borderId="10" xfId="0" applyNumberFormat="1" applyFont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164" fontId="36" fillId="0" borderId="10" xfId="2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164" fontId="36" fillId="0" borderId="10" xfId="2" applyFont="1" applyBorder="1" applyAlignment="1">
      <alignment horizontal="right"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vertical="top" wrapText="1"/>
    </xf>
    <xf numFmtId="0" fontId="36" fillId="0" borderId="7" xfId="0" applyFont="1" applyBorder="1" applyAlignment="1">
      <alignment horizontal="left" vertical="center" wrapText="1"/>
    </xf>
    <xf numFmtId="164" fontId="6" fillId="6" borderId="10" xfId="0" applyNumberFormat="1" applyFont="1" applyFill="1" applyBorder="1" applyAlignment="1">
      <alignment horizontal="center" vertical="center" wrapText="1"/>
    </xf>
    <xf numFmtId="0" fontId="41" fillId="4" borderId="0" xfId="0" applyFont="1" applyFill="1" applyAlignment="1">
      <alignment vertical="top"/>
    </xf>
    <xf numFmtId="0" fontId="3" fillId="4" borderId="0" xfId="0" applyFont="1" applyFill="1" applyAlignment="1">
      <alignment vertical="top" wrapText="1"/>
    </xf>
    <xf numFmtId="164" fontId="36" fillId="4" borderId="10" xfId="2" applyFont="1" applyFill="1" applyBorder="1" applyAlignment="1">
      <alignment horizontal="right" vertical="center" wrapText="1"/>
    </xf>
    <xf numFmtId="0" fontId="26" fillId="4" borderId="10" xfId="0" applyFont="1" applyFill="1" applyBorder="1" applyAlignment="1">
      <alignment vertical="top" wrapText="1"/>
    </xf>
    <xf numFmtId="43" fontId="26" fillId="4" borderId="10" xfId="3" applyFont="1" applyFill="1" applyBorder="1" applyAlignment="1">
      <alignment horizontal="right" vertical="top" wrapText="1"/>
    </xf>
    <xf numFmtId="166" fontId="26" fillId="4" borderId="10" xfId="3" applyNumberFormat="1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vertical="top" wrapText="1"/>
    </xf>
    <xf numFmtId="4" fontId="15" fillId="4" borderId="10" xfId="0" applyNumberFormat="1" applyFont="1" applyFill="1" applyBorder="1" applyAlignment="1">
      <alignment vertical="top" wrapText="1"/>
    </xf>
    <xf numFmtId="0" fontId="0" fillId="4" borderId="10" xfId="0" applyFill="1" applyBorder="1" applyAlignment="1">
      <alignment horizontal="right" vertical="center"/>
    </xf>
    <xf numFmtId="0" fontId="2" fillId="4" borderId="6" xfId="1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wrapText="1"/>
    </xf>
    <xf numFmtId="0" fontId="2" fillId="4" borderId="10" xfId="0" applyFont="1" applyFill="1" applyBorder="1" applyAlignment="1">
      <alignment horizontal="right" wrapText="1"/>
    </xf>
    <xf numFmtId="0" fontId="2" fillId="4" borderId="10" xfId="0" applyFont="1" applyFill="1" applyBorder="1" applyAlignment="1">
      <alignment wrapText="1"/>
    </xf>
    <xf numFmtId="0" fontId="2" fillId="4" borderId="10" xfId="0" applyFont="1" applyFill="1" applyBorder="1" applyAlignment="1">
      <alignment vertical="top" wrapText="1"/>
    </xf>
    <xf numFmtId="0" fontId="2" fillId="4" borderId="10" xfId="0" applyFont="1" applyFill="1" applyBorder="1"/>
    <xf numFmtId="0" fontId="2" fillId="4" borderId="6" xfId="1" applyFont="1" applyFill="1" applyBorder="1"/>
    <xf numFmtId="0" fontId="2" fillId="4" borderId="10" xfId="4" applyFont="1" applyFill="1" applyBorder="1" applyAlignment="1">
      <alignment wrapText="1"/>
    </xf>
    <xf numFmtId="0" fontId="2" fillId="4" borderId="10" xfId="0" applyFont="1" applyFill="1" applyBorder="1" applyAlignment="1">
      <alignment horizontal="center" vertical="center"/>
    </xf>
    <xf numFmtId="3" fontId="2" fillId="4" borderId="10" xfId="0" applyNumberFormat="1" applyFont="1" applyFill="1" applyBorder="1"/>
    <xf numFmtId="0" fontId="2" fillId="4" borderId="10" xfId="0" applyFont="1" applyFill="1" applyBorder="1" applyAlignment="1">
      <alignment horizontal="right" vertical="top" wrapText="1"/>
    </xf>
    <xf numFmtId="2" fontId="3" fillId="4" borderId="10" xfId="0" applyNumberFormat="1" applyFont="1" applyFill="1" applyBorder="1" applyAlignment="1">
      <alignment horizontal="center" vertical="center" wrapText="1"/>
    </xf>
    <xf numFmtId="0" fontId="4" fillId="4" borderId="10" xfId="4" applyFont="1" applyFill="1" applyBorder="1" applyAlignment="1">
      <alignment wrapText="1"/>
    </xf>
    <xf numFmtId="0" fontId="13" fillId="4" borderId="10" xfId="4" applyFont="1" applyFill="1" applyBorder="1" applyAlignment="1">
      <alignment horizontal="left" wrapText="1"/>
    </xf>
    <xf numFmtId="2" fontId="3" fillId="4" borderId="0" xfId="0" applyNumberFormat="1" applyFont="1" applyFill="1" applyAlignment="1">
      <alignment vertical="top" wrapText="1"/>
    </xf>
    <xf numFmtId="3" fontId="21" fillId="4" borderId="10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0" fontId="2" fillId="7" borderId="10" xfId="0" applyFont="1" applyFill="1" applyBorder="1" applyAlignment="1">
      <alignment wrapText="1"/>
    </xf>
    <xf numFmtId="0" fontId="2" fillId="7" borderId="10" xfId="0" applyFont="1" applyFill="1" applyBorder="1" applyAlignment="1">
      <alignment horizontal="right" wrapText="1"/>
    </xf>
    <xf numFmtId="2" fontId="2" fillId="7" borderId="10" xfId="0" applyNumberFormat="1" applyFont="1" applyFill="1" applyBorder="1" applyAlignment="1">
      <alignment horizontal="right" wrapText="1"/>
    </xf>
    <xf numFmtId="0" fontId="43" fillId="0" borderId="0" xfId="5" applyFont="1"/>
    <xf numFmtId="43" fontId="43" fillId="0" borderId="0" xfId="6" applyFont="1"/>
    <xf numFmtId="43" fontId="44" fillId="11" borderId="10" xfId="6" applyFont="1" applyFill="1" applyBorder="1" applyAlignment="1">
      <alignment horizontal="center" vertical="center" wrapText="1"/>
    </xf>
    <xf numFmtId="43" fontId="44" fillId="0" borderId="10" xfId="6" applyFont="1" applyBorder="1" applyAlignment="1">
      <alignment horizontal="center" vertical="center" wrapText="1"/>
    </xf>
    <xf numFmtId="0" fontId="44" fillId="0" borderId="10" xfId="5" applyFont="1" applyBorder="1"/>
    <xf numFmtId="43" fontId="43" fillId="0" borderId="10" xfId="5" applyNumberFormat="1" applyFont="1" applyBorder="1"/>
    <xf numFmtId="43" fontId="43" fillId="0" borderId="10" xfId="6" applyFont="1" applyBorder="1" applyAlignment="1">
      <alignment horizontal="center" vertical="center" wrapText="1"/>
    </xf>
    <xf numFmtId="0" fontId="43" fillId="0" borderId="10" xfId="5" applyFont="1" applyBorder="1"/>
    <xf numFmtId="43" fontId="44" fillId="2" borderId="10" xfId="6" applyFont="1" applyFill="1" applyBorder="1" applyAlignment="1">
      <alignment horizontal="center" vertical="center" wrapText="1"/>
    </xf>
    <xf numFmtId="0" fontId="44" fillId="2" borderId="10" xfId="5" applyFont="1" applyFill="1" applyBorder="1" applyAlignment="1">
      <alignment horizontal="center" vertical="center" wrapText="1"/>
    </xf>
    <xf numFmtId="0" fontId="44" fillId="0" borderId="0" xfId="5" applyFont="1"/>
    <xf numFmtId="0" fontId="44" fillId="0" borderId="0" xfId="5" applyFont="1" applyAlignment="1">
      <alignment vertical="center" wrapText="1"/>
    </xf>
    <xf numFmtId="0" fontId="46" fillId="0" borderId="0" xfId="5" applyFont="1"/>
    <xf numFmtId="0" fontId="46" fillId="0" borderId="0" xfId="5" applyFont="1" applyAlignment="1">
      <alignment horizontal="right"/>
    </xf>
    <xf numFmtId="4" fontId="46" fillId="0" borderId="0" xfId="5" applyNumberFormat="1" applyFont="1"/>
    <xf numFmtId="0" fontId="46" fillId="4" borderId="10" xfId="5" applyFont="1" applyFill="1" applyBorder="1"/>
    <xf numFmtId="3" fontId="46" fillId="0" borderId="0" xfId="5" applyNumberFormat="1" applyFont="1"/>
    <xf numFmtId="4" fontId="46" fillId="3" borderId="10" xfId="5" applyNumberFormat="1" applyFont="1" applyFill="1" applyBorder="1"/>
    <xf numFmtId="4" fontId="46" fillId="3" borderId="10" xfId="5" applyNumberFormat="1" applyFont="1" applyFill="1" applyBorder="1" applyAlignment="1">
      <alignment horizontal="center" vertical="center"/>
    </xf>
    <xf numFmtId="4" fontId="47" fillId="9" borderId="10" xfId="5" applyNumberFormat="1" applyFont="1" applyFill="1" applyBorder="1"/>
    <xf numFmtId="4" fontId="47" fillId="3" borderId="10" xfId="5" applyNumberFormat="1" applyFont="1" applyFill="1" applyBorder="1"/>
    <xf numFmtId="0" fontId="46" fillId="3" borderId="10" xfId="5" applyFont="1" applyFill="1" applyBorder="1"/>
    <xf numFmtId="0" fontId="46" fillId="0" borderId="10" xfId="5" applyFont="1" applyBorder="1"/>
    <xf numFmtId="0" fontId="46" fillId="12" borderId="10" xfId="5" applyFont="1" applyFill="1" applyBorder="1"/>
    <xf numFmtId="0" fontId="47" fillId="2" borderId="10" xfId="5" applyFont="1" applyFill="1" applyBorder="1" applyAlignment="1">
      <alignment horizontal="center" vertical="center" wrapText="1"/>
    </xf>
    <xf numFmtId="0" fontId="47" fillId="13" borderId="10" xfId="5" applyFont="1" applyFill="1" applyBorder="1" applyAlignment="1">
      <alignment horizontal="center" vertical="center" wrapText="1"/>
    </xf>
    <xf numFmtId="0" fontId="47" fillId="2" borderId="10" xfId="5" applyFont="1" applyFill="1" applyBorder="1" applyAlignment="1">
      <alignment horizontal="center" vertical="center"/>
    </xf>
    <xf numFmtId="43" fontId="47" fillId="11" borderId="21" xfId="6" applyFont="1" applyFill="1" applyBorder="1"/>
    <xf numFmtId="43" fontId="4" fillId="11" borderId="22" xfId="6" applyFont="1" applyFill="1" applyBorder="1"/>
    <xf numFmtId="43" fontId="13" fillId="6" borderId="10" xfId="6" applyFont="1" applyFill="1" applyBorder="1" applyAlignment="1">
      <alignment horizontal="center" vertical="center" wrapText="1"/>
    </xf>
    <xf numFmtId="0" fontId="13" fillId="6" borderId="10" xfId="5" applyFont="1" applyFill="1" applyBorder="1" applyAlignment="1">
      <alignment horizontal="center" vertical="center" wrapText="1"/>
    </xf>
    <xf numFmtId="43" fontId="4" fillId="0" borderId="0" xfId="6" applyFont="1" applyAlignment="1">
      <alignment vertical="center" wrapText="1"/>
    </xf>
    <xf numFmtId="0" fontId="3" fillId="7" borderId="0" xfId="0" applyFont="1" applyFill="1" applyAlignment="1">
      <alignment vertical="top" wrapText="1"/>
    </xf>
    <xf numFmtId="0" fontId="4" fillId="14" borderId="10" xfId="0" applyFont="1" applyFill="1" applyBorder="1" applyAlignment="1">
      <alignment vertical="top" wrapText="1"/>
    </xf>
    <xf numFmtId="0" fontId="3" fillId="14" borderId="10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2" fillId="8" borderId="10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center" vertical="center" wrapText="1"/>
    </xf>
    <xf numFmtId="4" fontId="12" fillId="8" borderId="10" xfId="0" applyNumberFormat="1" applyFont="1" applyFill="1" applyBorder="1" applyAlignment="1">
      <alignment vertical="center" wrapText="1"/>
    </xf>
    <xf numFmtId="2" fontId="12" fillId="8" borderId="10" xfId="0" applyNumberFormat="1" applyFont="1" applyFill="1" applyBorder="1" applyAlignment="1">
      <alignment horizontal="right" vertical="center" wrapText="1"/>
    </xf>
    <xf numFmtId="0" fontId="12" fillId="8" borderId="10" xfId="0" applyFont="1" applyFill="1" applyBorder="1" applyAlignment="1">
      <alignment horizontal="left" vertical="center" wrapText="1"/>
    </xf>
    <xf numFmtId="14" fontId="12" fillId="8" borderId="10" xfId="0" applyNumberFormat="1" applyFont="1" applyFill="1" applyBorder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right" vertical="center" wrapText="1"/>
    </xf>
    <xf numFmtId="0" fontId="4" fillId="8" borderId="10" xfId="0" applyFont="1" applyFill="1" applyBorder="1" applyAlignment="1">
      <alignment vertical="top" wrapText="1"/>
    </xf>
    <xf numFmtId="14" fontId="12" fillId="8" borderId="10" xfId="0" applyNumberFormat="1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vertical="center" wrapText="1"/>
    </xf>
    <xf numFmtId="0" fontId="4" fillId="15" borderId="10" xfId="0" applyFont="1" applyFill="1" applyBorder="1" applyAlignment="1">
      <alignment vertical="top" wrapText="1"/>
    </xf>
    <xf numFmtId="0" fontId="12" fillId="15" borderId="10" xfId="0" applyFont="1" applyFill="1" applyBorder="1" applyAlignment="1">
      <alignment vertical="center" wrapText="1"/>
    </xf>
    <xf numFmtId="0" fontId="12" fillId="15" borderId="10" xfId="0" applyFont="1" applyFill="1" applyBorder="1" applyAlignment="1">
      <alignment horizontal="center" vertical="center" wrapText="1"/>
    </xf>
    <xf numFmtId="4" fontId="12" fillId="15" borderId="10" xfId="0" applyNumberFormat="1" applyFont="1" applyFill="1" applyBorder="1" applyAlignment="1">
      <alignment vertical="center" wrapText="1"/>
    </xf>
    <xf numFmtId="0" fontId="12" fillId="15" borderId="2" xfId="0" applyFont="1" applyFill="1" applyBorder="1" applyAlignment="1">
      <alignment vertical="center"/>
    </xf>
    <xf numFmtId="14" fontId="12" fillId="15" borderId="2" xfId="0" applyNumberFormat="1" applyFont="1" applyFill="1" applyBorder="1" applyAlignment="1">
      <alignment vertical="center" wrapText="1"/>
    </xf>
    <xf numFmtId="0" fontId="12" fillId="15" borderId="2" xfId="0" applyFont="1" applyFill="1" applyBorder="1" applyAlignment="1">
      <alignment vertical="center" wrapText="1"/>
    </xf>
    <xf numFmtId="2" fontId="12" fillId="15" borderId="2" xfId="0" applyNumberFormat="1" applyFont="1" applyFill="1" applyBorder="1" applyAlignment="1">
      <alignment vertical="top" wrapText="1"/>
    </xf>
    <xf numFmtId="0" fontId="12" fillId="15" borderId="2" xfId="0" applyFont="1" applyFill="1" applyBorder="1" applyAlignment="1">
      <alignment vertical="top" wrapText="1"/>
    </xf>
    <xf numFmtId="2" fontId="12" fillId="15" borderId="2" xfId="0" applyNumberFormat="1" applyFont="1" applyFill="1" applyBorder="1" applyAlignment="1">
      <alignment vertical="top"/>
    </xf>
    <xf numFmtId="0" fontId="3" fillId="15" borderId="0" xfId="0" applyFont="1" applyFill="1" applyAlignment="1">
      <alignment vertical="top" wrapText="1"/>
    </xf>
    <xf numFmtId="0" fontId="3" fillId="8" borderId="0" xfId="0" applyFont="1" applyFill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12" fillId="7" borderId="10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right" vertical="center" wrapText="1"/>
    </xf>
    <xf numFmtId="0" fontId="47" fillId="2" borderId="10" xfId="5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7" fillId="8" borderId="10" xfId="5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1" fillId="16" borderId="10" xfId="0" applyFont="1" applyFill="1" applyBorder="1" applyAlignment="1">
      <alignment horizontal="center" vertical="top" wrapText="1"/>
    </xf>
    <xf numFmtId="0" fontId="32" fillId="16" borderId="5" xfId="0" applyFont="1" applyFill="1" applyBorder="1" applyAlignment="1">
      <alignment vertical="center" wrapText="1"/>
    </xf>
    <xf numFmtId="0" fontId="32" fillId="16" borderId="6" xfId="0" applyFont="1" applyFill="1" applyBorder="1" applyAlignment="1">
      <alignment vertical="center" wrapText="1"/>
    </xf>
    <xf numFmtId="0" fontId="0" fillId="8" borderId="10" xfId="0" applyFill="1" applyBorder="1"/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vertical="center" wrapText="1"/>
    </xf>
    <xf numFmtId="165" fontId="21" fillId="8" borderId="10" xfId="0" applyNumberFormat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9" borderId="10" xfId="0" applyFill="1" applyBorder="1"/>
    <xf numFmtId="0" fontId="3" fillId="9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 wrapText="1"/>
    </xf>
    <xf numFmtId="165" fontId="21" fillId="9" borderId="10" xfId="0" applyNumberFormat="1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47" fillId="9" borderId="10" xfId="5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3" fontId="21" fillId="8" borderId="10" xfId="0" applyNumberFormat="1" applyFont="1" applyFill="1" applyBorder="1" applyAlignment="1">
      <alignment horizontal="right" vertical="center"/>
    </xf>
    <xf numFmtId="0" fontId="3" fillId="8" borderId="10" xfId="0" applyFont="1" applyFill="1" applyBorder="1" applyAlignment="1">
      <alignment vertical="top"/>
    </xf>
    <xf numFmtId="14" fontId="3" fillId="8" borderId="10" xfId="0" applyNumberFormat="1" applyFont="1" applyFill="1" applyBorder="1" applyAlignment="1">
      <alignment vertical="top"/>
    </xf>
    <xf numFmtId="0" fontId="4" fillId="8" borderId="10" xfId="0" applyFont="1" applyFill="1" applyBorder="1" applyAlignment="1">
      <alignment vertical="top"/>
    </xf>
    <xf numFmtId="0" fontId="21" fillId="9" borderId="10" xfId="0" applyFont="1" applyFill="1" applyBorder="1" applyAlignment="1">
      <alignment horizontal="center" vertical="center"/>
    </xf>
    <xf numFmtId="3" fontId="21" fillId="9" borderId="10" xfId="0" applyNumberFormat="1" applyFont="1" applyFill="1" applyBorder="1" applyAlignment="1">
      <alignment horizontal="right" vertical="center"/>
    </xf>
    <xf numFmtId="0" fontId="3" fillId="9" borderId="10" xfId="0" applyFont="1" applyFill="1" applyBorder="1" applyAlignment="1">
      <alignment vertical="top"/>
    </xf>
    <xf numFmtId="0" fontId="3" fillId="8" borderId="10" xfId="0" applyFont="1" applyFill="1" applyBorder="1" applyAlignment="1">
      <alignment horizontal="center" vertical="top" wrapText="1"/>
    </xf>
    <xf numFmtId="0" fontId="24" fillId="8" borderId="10" xfId="0" applyFont="1" applyFill="1" applyBorder="1" applyAlignment="1">
      <alignment vertical="top"/>
    </xf>
    <xf numFmtId="14" fontId="3" fillId="9" borderId="10" xfId="0" applyNumberFormat="1" applyFont="1" applyFill="1" applyBorder="1" applyAlignment="1">
      <alignment vertical="top"/>
    </xf>
    <xf numFmtId="0" fontId="36" fillId="0" borderId="10" xfId="0" applyFont="1" applyFill="1" applyBorder="1" applyAlignment="1">
      <alignment horizontal="left" vertical="center" wrapText="1"/>
    </xf>
    <xf numFmtId="0" fontId="36" fillId="9" borderId="4" xfId="0" applyFont="1" applyFill="1" applyBorder="1" applyAlignment="1">
      <alignment vertical="center" wrapText="1"/>
    </xf>
    <xf numFmtId="0" fontId="37" fillId="9" borderId="10" xfId="0" applyFont="1" applyFill="1" applyBorder="1" applyAlignment="1">
      <alignment horizontal="center" vertical="center" wrapText="1"/>
    </xf>
    <xf numFmtId="164" fontId="36" fillId="9" borderId="10" xfId="2" applyFont="1" applyFill="1" applyBorder="1" applyAlignment="1">
      <alignment horizontal="right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 wrapText="1"/>
    </xf>
    <xf numFmtId="0" fontId="36" fillId="9" borderId="7" xfId="0" applyFont="1" applyFill="1" applyBorder="1" applyAlignment="1">
      <alignment horizontal="left" vertical="center" wrapText="1"/>
    </xf>
    <xf numFmtId="164" fontId="35" fillId="9" borderId="10" xfId="7" applyFont="1" applyFill="1" applyBorder="1" applyAlignment="1">
      <alignment horizontal="center" vertical="center" wrapText="1"/>
    </xf>
    <xf numFmtId="167" fontId="36" fillId="9" borderId="10" xfId="2" applyNumberFormat="1" applyFont="1" applyFill="1" applyBorder="1" applyAlignment="1">
      <alignment vertical="center" wrapText="1"/>
    </xf>
    <xf numFmtId="164" fontId="36" fillId="9" borderId="10" xfId="0" applyNumberFormat="1" applyFont="1" applyFill="1" applyBorder="1" applyAlignment="1">
      <alignment vertical="center" wrapText="1"/>
    </xf>
    <xf numFmtId="0" fontId="38" fillId="9" borderId="10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left" vertical="center" wrapText="1"/>
    </xf>
    <xf numFmtId="164" fontId="36" fillId="9" borderId="10" xfId="2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left" vertical="center" wrapText="1"/>
    </xf>
    <xf numFmtId="0" fontId="36" fillId="9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vertical="top" wrapText="1"/>
    </xf>
    <xf numFmtId="0" fontId="36" fillId="0" borderId="4" xfId="0" applyFont="1" applyFill="1" applyBorder="1" applyAlignment="1">
      <alignment vertical="center" wrapText="1"/>
    </xf>
    <xf numFmtId="0" fontId="37" fillId="0" borderId="10" xfId="0" applyFont="1" applyFill="1" applyBorder="1" applyAlignment="1">
      <alignment horizontal="center" vertical="center" wrapText="1"/>
    </xf>
    <xf numFmtId="164" fontId="36" fillId="0" borderId="10" xfId="2" applyFont="1" applyFill="1" applyBorder="1" applyAlignment="1">
      <alignment horizontal="right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164" fontId="36" fillId="0" borderId="10" xfId="2" applyFont="1" applyFill="1" applyBorder="1" applyAlignment="1">
      <alignment horizontal="center" vertical="center" wrapText="1"/>
    </xf>
    <xf numFmtId="164" fontId="36" fillId="0" borderId="10" xfId="0" applyNumberFormat="1" applyFont="1" applyFill="1" applyBorder="1" applyAlignment="1">
      <alignment vertical="center" wrapText="1"/>
    </xf>
    <xf numFmtId="0" fontId="40" fillId="0" borderId="20" xfId="0" applyFont="1" applyFill="1" applyBorder="1" applyAlignment="1">
      <alignment vertical="center"/>
    </xf>
    <xf numFmtId="0" fontId="40" fillId="0" borderId="19" xfId="0" applyFont="1" applyFill="1" applyBorder="1" applyAlignment="1">
      <alignment vertical="center"/>
    </xf>
    <xf numFmtId="0" fontId="39" fillId="0" borderId="19" xfId="0" applyFont="1" applyFill="1" applyBorder="1" applyAlignment="1">
      <alignment horizontal="righ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vertical="top" wrapText="1"/>
    </xf>
    <xf numFmtId="0" fontId="40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14" fillId="8" borderId="14" xfId="0" applyFont="1" applyFill="1" applyBorder="1" applyAlignment="1">
      <alignment horizontal="center" vertical="center" wrapText="1"/>
    </xf>
    <xf numFmtId="3" fontId="14" fillId="8" borderId="15" xfId="0" applyNumberFormat="1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 wrapText="1"/>
    </xf>
    <xf numFmtId="0" fontId="14" fillId="9" borderId="14" xfId="0" applyFont="1" applyFill="1" applyBorder="1" applyAlignment="1">
      <alignment horizontal="center" vertical="center" wrapText="1"/>
    </xf>
    <xf numFmtId="3" fontId="14" fillId="9" borderId="15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top" wrapText="1"/>
    </xf>
    <xf numFmtId="14" fontId="12" fillId="9" borderId="10" xfId="0" applyNumberFormat="1" applyFont="1" applyFill="1" applyBorder="1" applyAlignment="1">
      <alignment vertical="top" wrapText="1"/>
    </xf>
    <xf numFmtId="4" fontId="12" fillId="9" borderId="10" xfId="0" applyNumberFormat="1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4" fillId="9" borderId="10" xfId="0" applyFont="1" applyFill="1" applyBorder="1" applyAlignment="1">
      <alignment horizontal="left" vertical="center" wrapText="1"/>
    </xf>
    <xf numFmtId="0" fontId="3" fillId="9" borderId="10" xfId="0" applyFont="1" applyFill="1" applyBorder="1" applyAlignment="1">
      <alignment vertical="top" wrapText="1"/>
    </xf>
    <xf numFmtId="14" fontId="3" fillId="9" borderId="10" xfId="0" applyNumberFormat="1" applyFont="1" applyFill="1" applyBorder="1" applyAlignment="1">
      <alignment vertical="top" wrapText="1"/>
    </xf>
    <xf numFmtId="4" fontId="3" fillId="9" borderId="10" xfId="0" applyNumberFormat="1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left" vertical="top" wrapText="1"/>
    </xf>
    <xf numFmtId="4" fontId="12" fillId="9" borderId="10" xfId="0" applyNumberFormat="1" applyFont="1" applyFill="1" applyBorder="1" applyAlignment="1">
      <alignment horizontal="center" vertical="top" wrapText="1"/>
    </xf>
    <xf numFmtId="4" fontId="3" fillId="9" borderId="10" xfId="0" applyNumberFormat="1" applyFont="1" applyFill="1" applyBorder="1" applyAlignment="1">
      <alignment horizontal="center" vertical="top" wrapText="1"/>
    </xf>
    <xf numFmtId="0" fontId="3" fillId="9" borderId="0" xfId="0" applyFont="1" applyFill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Fill="1" applyAlignment="1">
      <alignment vertical="top" wrapText="1"/>
    </xf>
    <xf numFmtId="0" fontId="3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 wrapText="1"/>
    </xf>
    <xf numFmtId="0" fontId="14" fillId="7" borderId="14" xfId="0" applyFont="1" applyFill="1" applyBorder="1" applyAlignment="1">
      <alignment horizontal="center" vertical="center" wrapText="1"/>
    </xf>
    <xf numFmtId="3" fontId="14" fillId="7" borderId="15" xfId="0" applyNumberFormat="1" applyFont="1" applyFill="1" applyBorder="1" applyAlignment="1">
      <alignment horizontal="center" vertical="center" wrapText="1"/>
    </xf>
    <xf numFmtId="0" fontId="47" fillId="7" borderId="10" xfId="5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 wrapText="1"/>
    </xf>
    <xf numFmtId="3" fontId="3" fillId="8" borderId="10" xfId="0" applyNumberFormat="1" applyFont="1" applyFill="1" applyBorder="1" applyAlignment="1">
      <alignment vertical="top" wrapText="1"/>
    </xf>
    <xf numFmtId="0" fontId="26" fillId="8" borderId="10" xfId="0" applyFont="1" applyFill="1" applyBorder="1" applyAlignment="1">
      <alignment vertical="top" wrapText="1"/>
    </xf>
    <xf numFmtId="14" fontId="26" fillId="8" borderId="10" xfId="0" applyNumberFormat="1" applyFont="1" applyFill="1" applyBorder="1" applyAlignment="1">
      <alignment vertical="top" wrapText="1"/>
    </xf>
    <xf numFmtId="43" fontId="26" fillId="8" borderId="10" xfId="3" applyFont="1" applyFill="1" applyBorder="1" applyAlignment="1">
      <alignment horizontal="right" vertical="top" wrapText="1"/>
    </xf>
    <xf numFmtId="166" fontId="26" fillId="8" borderId="10" xfId="3" applyNumberFormat="1" applyFont="1" applyFill="1" applyBorder="1" applyAlignment="1">
      <alignment horizontal="right" vertical="top" wrapText="1"/>
    </xf>
    <xf numFmtId="43" fontId="26" fillId="8" borderId="10" xfId="0" applyNumberFormat="1" applyFont="1" applyFill="1" applyBorder="1" applyAlignment="1">
      <alignment vertical="top" wrapText="1"/>
    </xf>
    <xf numFmtId="43" fontId="26" fillId="8" borderId="10" xfId="3" applyFont="1" applyFill="1" applyBorder="1" applyAlignment="1">
      <alignment vertical="center" wrapText="1"/>
    </xf>
    <xf numFmtId="14" fontId="26" fillId="8" borderId="10" xfId="0" applyNumberFormat="1" applyFont="1" applyFill="1" applyBorder="1" applyAlignment="1">
      <alignment vertical="center" wrapText="1"/>
    </xf>
    <xf numFmtId="14" fontId="26" fillId="8" borderId="10" xfId="0" applyNumberFormat="1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left" vertical="center" wrapText="1"/>
    </xf>
    <xf numFmtId="166" fontId="26" fillId="8" borderId="10" xfId="3" applyNumberFormat="1" applyFont="1" applyFill="1" applyBorder="1" applyAlignment="1">
      <alignment horizontal="center" vertical="center" wrapText="1"/>
    </xf>
    <xf numFmtId="43" fontId="26" fillId="8" borderId="10" xfId="0" applyNumberFormat="1" applyFont="1" applyFill="1" applyBorder="1" applyAlignment="1">
      <alignment horizontal="right" vertical="center" wrapText="1"/>
    </xf>
    <xf numFmtId="43" fontId="26" fillId="8" borderId="10" xfId="3" applyFont="1" applyFill="1" applyBorder="1" applyAlignment="1">
      <alignment vertical="top" wrapText="1"/>
    </xf>
    <xf numFmtId="14" fontId="26" fillId="8" borderId="10" xfId="0" applyNumberFormat="1" applyFont="1" applyFill="1" applyBorder="1" applyAlignment="1">
      <alignment horizontal="center" vertical="top" wrapText="1"/>
    </xf>
    <xf numFmtId="43" fontId="42" fillId="8" borderId="0" xfId="3" applyFont="1" applyFill="1" applyAlignment="1">
      <alignment horizontal="left" vertical="top"/>
    </xf>
    <xf numFmtId="166" fontId="42" fillId="8" borderId="0" xfId="3" applyNumberFormat="1" applyFont="1" applyFill="1" applyAlignment="1">
      <alignment horizontal="left" vertical="top"/>
    </xf>
    <xf numFmtId="0" fontId="42" fillId="8" borderId="10" xfId="0" applyFont="1" applyFill="1" applyBorder="1" applyAlignment="1">
      <alignment vertical="top" wrapText="1"/>
    </xf>
    <xf numFmtId="3" fontId="3" fillId="9" borderId="10" xfId="0" applyNumberFormat="1" applyFont="1" applyFill="1" applyBorder="1" applyAlignment="1">
      <alignment vertical="top" wrapText="1"/>
    </xf>
    <xf numFmtId="43" fontId="12" fillId="9" borderId="10" xfId="3" applyFont="1" applyFill="1" applyBorder="1" applyAlignment="1">
      <alignment horizontal="right" vertical="top" wrapText="1"/>
    </xf>
    <xf numFmtId="43" fontId="12" fillId="9" borderId="10" xfId="3" applyFont="1" applyFill="1" applyBorder="1" applyAlignment="1">
      <alignment vertical="top" wrapText="1"/>
    </xf>
    <xf numFmtId="0" fontId="26" fillId="9" borderId="10" xfId="0" applyFont="1" applyFill="1" applyBorder="1" applyAlignment="1">
      <alignment vertical="top" wrapText="1"/>
    </xf>
    <xf numFmtId="43" fontId="3" fillId="9" borderId="10" xfId="3" applyFont="1" applyFill="1" applyBorder="1" applyAlignment="1">
      <alignment horizontal="right" vertical="top" wrapText="1"/>
    </xf>
    <xf numFmtId="43" fontId="3" fillId="9" borderId="10" xfId="3" applyFont="1" applyFill="1" applyBorder="1" applyAlignment="1">
      <alignment vertical="top" wrapText="1"/>
    </xf>
    <xf numFmtId="14" fontId="26" fillId="9" borderId="10" xfId="0" applyNumberFormat="1" applyFont="1" applyFill="1" applyBorder="1" applyAlignment="1">
      <alignment vertical="top" wrapText="1"/>
    </xf>
    <xf numFmtId="43" fontId="26" fillId="9" borderId="10" xfId="3" applyFont="1" applyFill="1" applyBorder="1" applyAlignment="1">
      <alignment horizontal="right" vertical="top" wrapText="1"/>
    </xf>
    <xf numFmtId="166" fontId="26" fillId="9" borderId="10" xfId="3" applyNumberFormat="1" applyFont="1" applyFill="1" applyBorder="1" applyAlignment="1">
      <alignment horizontal="right" vertical="top" wrapText="1"/>
    </xf>
    <xf numFmtId="43" fontId="26" fillId="9" borderId="10" xfId="0" applyNumberFormat="1" applyFont="1" applyFill="1" applyBorder="1" applyAlignment="1">
      <alignment vertical="top" wrapText="1"/>
    </xf>
    <xf numFmtId="0" fontId="4" fillId="9" borderId="0" xfId="0" applyFont="1" applyFill="1" applyAlignment="1">
      <alignment vertical="top" wrapText="1"/>
    </xf>
    <xf numFmtId="0" fontId="46" fillId="9" borderId="0" xfId="0" applyFont="1" applyFill="1" applyAlignment="1">
      <alignment vertical="center" wrapText="1"/>
    </xf>
    <xf numFmtId="0" fontId="15" fillId="9" borderId="0" xfId="0" applyFont="1" applyFill="1" applyAlignment="1">
      <alignment wrapText="1"/>
    </xf>
    <xf numFmtId="0" fontId="3" fillId="8" borderId="16" xfId="0" applyFont="1" applyFill="1" applyBorder="1" applyAlignment="1">
      <alignment vertical="center" wrapText="1"/>
    </xf>
    <xf numFmtId="4" fontId="3" fillId="8" borderId="10" xfId="0" applyNumberFormat="1" applyFont="1" applyFill="1" applyBorder="1" applyAlignment="1">
      <alignment horizontal="right" vertical="center" wrapText="1"/>
    </xf>
    <xf numFmtId="14" fontId="3" fillId="8" borderId="10" xfId="0" applyNumberFormat="1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vertical="top" wrapText="1"/>
    </xf>
    <xf numFmtId="0" fontId="12" fillId="8" borderId="10" xfId="0" applyFont="1" applyFill="1" applyBorder="1" applyAlignment="1">
      <alignment vertical="top" wrapText="1"/>
    </xf>
    <xf numFmtId="0" fontId="15" fillId="8" borderId="10" xfId="0" applyFont="1" applyFill="1" applyBorder="1" applyAlignment="1">
      <alignment vertical="top" wrapText="1"/>
    </xf>
    <xf numFmtId="4" fontId="15" fillId="8" borderId="10" xfId="0" applyNumberFormat="1" applyFont="1" applyFill="1" applyBorder="1" applyAlignment="1">
      <alignment vertical="top" wrapText="1"/>
    </xf>
    <xf numFmtId="0" fontId="3" fillId="8" borderId="10" xfId="0" applyFont="1" applyFill="1" applyBorder="1"/>
    <xf numFmtId="0" fontId="12" fillId="8" borderId="10" xfId="0" applyFont="1" applyFill="1" applyBorder="1" applyAlignment="1">
      <alignment horizontal="right"/>
    </xf>
    <xf numFmtId="14" fontId="4" fillId="8" borderId="10" xfId="0" applyNumberFormat="1" applyFont="1" applyFill="1" applyBorder="1" applyAlignment="1">
      <alignment vertical="top" wrapText="1"/>
    </xf>
    <xf numFmtId="14" fontId="3" fillId="8" borderId="10" xfId="0" applyNumberFormat="1" applyFont="1" applyFill="1" applyBorder="1" applyAlignment="1">
      <alignment vertical="top" wrapText="1"/>
    </xf>
    <xf numFmtId="0" fontId="0" fillId="8" borderId="10" xfId="0" applyFill="1" applyBorder="1" applyAlignment="1">
      <alignment horizontal="right" vertical="center"/>
    </xf>
    <xf numFmtId="0" fontId="13" fillId="8" borderId="10" xfId="0" applyFont="1" applyFill="1" applyBorder="1" applyAlignment="1">
      <alignment vertical="top" wrapText="1"/>
    </xf>
    <xf numFmtId="0" fontId="3" fillId="8" borderId="10" xfId="0" applyFont="1" applyFill="1" applyBorder="1" applyAlignment="1">
      <alignment wrapText="1"/>
    </xf>
    <xf numFmtId="0" fontId="3" fillId="8" borderId="10" xfId="0" applyFont="1" applyFill="1" applyBorder="1" applyAlignment="1">
      <alignment horizontal="right"/>
    </xf>
    <xf numFmtId="0" fontId="13" fillId="8" borderId="13" xfId="0" applyFont="1" applyFill="1" applyBorder="1" applyAlignment="1">
      <alignment vertical="top" wrapText="1"/>
    </xf>
    <xf numFmtId="2" fontId="4" fillId="8" borderId="10" xfId="0" applyNumberFormat="1" applyFont="1" applyFill="1" applyBorder="1" applyAlignment="1">
      <alignment vertical="top" wrapText="1"/>
    </xf>
    <xf numFmtId="2" fontId="6" fillId="8" borderId="10" xfId="0" applyNumberFormat="1" applyFont="1" applyFill="1" applyBorder="1" applyAlignment="1">
      <alignment vertical="top" wrapText="1"/>
    </xf>
    <xf numFmtId="2" fontId="3" fillId="8" borderId="10" xfId="0" applyNumberFormat="1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2" fillId="8" borderId="6" xfId="1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wrapText="1"/>
    </xf>
    <xf numFmtId="0" fontId="2" fillId="8" borderId="10" xfId="0" applyFont="1" applyFill="1" applyBorder="1" applyAlignment="1">
      <alignment horizontal="right" wrapText="1"/>
    </xf>
    <xf numFmtId="0" fontId="2" fillId="8" borderId="10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33" fillId="8" borderId="6" xfId="1" applyFont="1" applyFill="1" applyBorder="1" applyAlignment="1">
      <alignment vertical="top" wrapText="1"/>
    </xf>
    <xf numFmtId="0" fontId="2" fillId="8" borderId="6" xfId="1" applyFont="1" applyFill="1" applyBorder="1"/>
    <xf numFmtId="0" fontId="0" fillId="7" borderId="10" xfId="0" applyFill="1" applyBorder="1" applyAlignment="1">
      <alignment vertical="top" wrapText="1"/>
    </xf>
    <xf numFmtId="0" fontId="2" fillId="7" borderId="6" xfId="1" applyFont="1" applyFill="1" applyBorder="1" applyAlignment="1">
      <alignment vertical="top" wrapText="1"/>
    </xf>
    <xf numFmtId="0" fontId="2" fillId="7" borderId="10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wrapText="1"/>
    </xf>
    <xf numFmtId="0" fontId="4" fillId="7" borderId="10" xfId="0" applyFont="1" applyFill="1" applyBorder="1" applyAlignment="1">
      <alignment vertical="top" wrapText="1"/>
    </xf>
    <xf numFmtId="0" fontId="2" fillId="7" borderId="6" xfId="1" applyFont="1" applyFill="1" applyBorder="1"/>
    <xf numFmtId="0" fontId="2" fillId="8" borderId="10" xfId="4" applyFont="1" applyFill="1" applyBorder="1" applyAlignment="1">
      <alignment wrapText="1"/>
    </xf>
    <xf numFmtId="0" fontId="2" fillId="8" borderId="10" xfId="0" applyFont="1" applyFill="1" applyBorder="1" applyAlignment="1">
      <alignment horizontal="center" vertical="center"/>
    </xf>
    <xf numFmtId="3" fontId="2" fillId="8" borderId="10" xfId="0" applyNumberFormat="1" applyFont="1" applyFill="1" applyBorder="1"/>
    <xf numFmtId="0" fontId="2" fillId="8" borderId="10" xfId="0" applyFont="1" applyFill="1" applyBorder="1" applyAlignment="1">
      <alignment vertical="top" wrapText="1"/>
    </xf>
    <xf numFmtId="0" fontId="33" fillId="8" borderId="10" xfId="4" applyFont="1" applyFill="1" applyBorder="1" applyAlignment="1">
      <alignment wrapText="1"/>
    </xf>
    <xf numFmtId="0" fontId="2" fillId="7" borderId="10" xfId="4" applyFont="1" applyFill="1" applyBorder="1" applyAlignment="1">
      <alignment wrapText="1"/>
    </xf>
    <xf numFmtId="0" fontId="2" fillId="7" borderId="10" xfId="0" applyFont="1" applyFill="1" applyBorder="1" applyAlignment="1">
      <alignment horizontal="center" vertical="center"/>
    </xf>
    <xf numFmtId="3" fontId="2" fillId="7" borderId="10" xfId="0" applyNumberFormat="1" applyFont="1" applyFill="1" applyBorder="1"/>
    <xf numFmtId="0" fontId="33" fillId="7" borderId="10" xfId="4" applyFont="1" applyFill="1" applyBorder="1" applyAlignment="1">
      <alignment wrapText="1"/>
    </xf>
    <xf numFmtId="0" fontId="0" fillId="7" borderId="0" xfId="0" applyFill="1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8" borderId="0" xfId="0" applyFill="1" applyBorder="1" applyAlignment="1">
      <alignment vertical="top" wrapText="1"/>
    </xf>
    <xf numFmtId="0" fontId="0" fillId="9" borderId="0" xfId="0" applyFill="1" applyBorder="1" applyAlignment="1">
      <alignment vertical="top" wrapText="1"/>
    </xf>
    <xf numFmtId="4" fontId="42" fillId="12" borderId="10" xfId="5" applyNumberFormat="1" applyFont="1" applyFill="1" applyBorder="1" applyAlignment="1">
      <alignment horizontal="center"/>
    </xf>
    <xf numFmtId="4" fontId="42" fillId="4" borderId="10" xfId="5" applyNumberFormat="1" applyFont="1" applyFill="1" applyBorder="1"/>
    <xf numFmtId="4" fontId="47" fillId="15" borderId="10" xfId="5" applyNumberFormat="1" applyFont="1" applyFill="1" applyBorder="1"/>
    <xf numFmtId="0" fontId="0" fillId="15" borderId="10" xfId="0" applyFill="1" applyBorder="1" applyAlignment="1">
      <alignment vertical="top" wrapText="1"/>
    </xf>
    <xf numFmtId="0" fontId="2" fillId="15" borderId="10" xfId="4" applyFont="1" applyFill="1" applyBorder="1" applyAlignment="1">
      <alignment wrapText="1"/>
    </xf>
    <xf numFmtId="0" fontId="2" fillId="15" borderId="6" xfId="1" applyFont="1" applyFill="1" applyBorder="1" applyAlignment="1">
      <alignment vertical="top" wrapText="1"/>
    </xf>
    <xf numFmtId="0" fontId="2" fillId="15" borderId="10" xfId="0" applyFont="1" applyFill="1" applyBorder="1" applyAlignment="1">
      <alignment horizontal="center" vertical="center"/>
    </xf>
    <xf numFmtId="3" fontId="2" fillId="15" borderId="10" xfId="0" applyNumberFormat="1" applyFont="1" applyFill="1" applyBorder="1"/>
    <xf numFmtId="0" fontId="0" fillId="15" borderId="10" xfId="0" applyFill="1" applyBorder="1" applyAlignment="1">
      <alignment horizontal="right" wrapText="1"/>
    </xf>
    <xf numFmtId="0" fontId="2" fillId="15" borderId="10" xfId="0" applyFont="1" applyFill="1" applyBorder="1" applyAlignment="1">
      <alignment wrapText="1"/>
    </xf>
    <xf numFmtId="0" fontId="33" fillId="15" borderId="10" xfId="0" applyFont="1" applyFill="1" applyBorder="1" applyAlignment="1">
      <alignment horizontal="right" wrapText="1"/>
    </xf>
    <xf numFmtId="0" fontId="2" fillId="15" borderId="10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9" borderId="10" xfId="0" applyFont="1" applyFill="1" applyBorder="1" applyAlignment="1">
      <alignment wrapText="1"/>
    </xf>
    <xf numFmtId="2" fontId="48" fillId="9" borderId="10" xfId="0" applyNumberFormat="1" applyFont="1" applyFill="1" applyBorder="1" applyAlignment="1">
      <alignment vertical="top" wrapText="1"/>
    </xf>
    <xf numFmtId="2" fontId="20" fillId="9" borderId="10" xfId="0" applyNumberFormat="1" applyFont="1" applyFill="1" applyBorder="1" applyAlignment="1">
      <alignment vertical="top" wrapText="1"/>
    </xf>
    <xf numFmtId="0" fontId="4" fillId="9" borderId="10" xfId="0" applyFont="1" applyFill="1" applyBorder="1" applyAlignment="1">
      <alignment vertical="top" wrapText="1"/>
    </xf>
    <xf numFmtId="0" fontId="4" fillId="8" borderId="13" xfId="0" applyFont="1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1" fillId="8" borderId="0" xfId="0" applyFont="1" applyFill="1"/>
    <xf numFmtId="0" fontId="28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wrapText="1"/>
    </xf>
    <xf numFmtId="2" fontId="13" fillId="8" borderId="10" xfId="0" applyNumberFormat="1" applyFont="1" applyFill="1" applyBorder="1" applyAlignment="1">
      <alignment vertical="top" wrapText="1"/>
    </xf>
    <xf numFmtId="0" fontId="3" fillId="9" borderId="10" xfId="0" applyFont="1" applyFill="1" applyBorder="1"/>
    <xf numFmtId="0" fontId="12" fillId="9" borderId="10" xfId="0" applyFont="1" applyFill="1" applyBorder="1" applyAlignment="1">
      <alignment horizontal="right"/>
    </xf>
    <xf numFmtId="0" fontId="15" fillId="9" borderId="10" xfId="0" applyFont="1" applyFill="1" applyBorder="1" applyAlignment="1">
      <alignment vertical="top" wrapText="1"/>
    </xf>
    <xf numFmtId="14" fontId="15" fillId="9" borderId="10" xfId="0" applyNumberFormat="1" applyFont="1" applyFill="1" applyBorder="1" applyAlignment="1">
      <alignment vertical="top" wrapText="1"/>
    </xf>
    <xf numFmtId="0" fontId="13" fillId="9" borderId="10" xfId="0" applyFont="1" applyFill="1" applyBorder="1" applyAlignment="1">
      <alignment vertical="top" wrapText="1"/>
    </xf>
    <xf numFmtId="0" fontId="0" fillId="8" borderId="0" xfId="0" applyFill="1"/>
    <xf numFmtId="4" fontId="0" fillId="9" borderId="0" xfId="0" applyNumberFormat="1" applyFill="1"/>
    <xf numFmtId="2" fontId="3" fillId="8" borderId="10" xfId="0" applyNumberFormat="1" applyFont="1" applyFill="1" applyBorder="1" applyAlignment="1">
      <alignment horizontal="center" vertical="center" wrapText="1"/>
    </xf>
    <xf numFmtId="3" fontId="3" fillId="8" borderId="10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top" wrapText="1"/>
    </xf>
    <xf numFmtId="2" fontId="3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top" wrapText="1"/>
    </xf>
    <xf numFmtId="0" fontId="4" fillId="8" borderId="0" xfId="0" applyFont="1" applyFill="1" applyAlignment="1">
      <alignment vertical="top" wrapText="1"/>
    </xf>
    <xf numFmtId="0" fontId="14" fillId="8" borderId="7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4" fillId="8" borderId="10" xfId="4" applyFont="1" applyFill="1" applyBorder="1" applyAlignment="1">
      <alignment wrapText="1"/>
    </xf>
    <xf numFmtId="3" fontId="0" fillId="8" borderId="10" xfId="0" applyNumberFormat="1" applyFill="1" applyBorder="1"/>
    <xf numFmtId="0" fontId="4" fillId="9" borderId="10" xfId="4" applyFont="1" applyFill="1" applyBorder="1" applyAlignment="1">
      <alignment wrapText="1"/>
    </xf>
    <xf numFmtId="3" fontId="0" fillId="9" borderId="10" xfId="0" applyNumberFormat="1" applyFill="1" applyBorder="1"/>
    <xf numFmtId="0" fontId="13" fillId="9" borderId="10" xfId="4" applyFont="1" applyFill="1" applyBorder="1" applyAlignment="1">
      <alignment horizontal="left" wrapText="1"/>
    </xf>
    <xf numFmtId="0" fontId="13" fillId="9" borderId="10" xfId="4" applyFont="1" applyFill="1" applyBorder="1" applyAlignment="1">
      <alignment wrapText="1"/>
    </xf>
    <xf numFmtId="0" fontId="4" fillId="7" borderId="10" xfId="4" applyFont="1" applyFill="1" applyBorder="1" applyAlignment="1">
      <alignment horizontal="left" vertical="top" wrapText="1"/>
    </xf>
    <xf numFmtId="0" fontId="4" fillId="7" borderId="10" xfId="4" applyFont="1" applyFill="1" applyBorder="1" applyAlignment="1">
      <alignment wrapText="1"/>
    </xf>
    <xf numFmtId="0" fontId="0" fillId="7" borderId="10" xfId="0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right" vertical="top"/>
    </xf>
    <xf numFmtId="0" fontId="3" fillId="8" borderId="4" xfId="0" applyFont="1" applyFill="1" applyBorder="1" applyAlignment="1">
      <alignment vertical="top" wrapText="1"/>
    </xf>
    <xf numFmtId="0" fontId="21" fillId="8" borderId="10" xfId="0" applyFont="1" applyFill="1" applyBorder="1" applyAlignment="1">
      <alignment vertical="center" wrapText="1"/>
    </xf>
    <xf numFmtId="0" fontId="21" fillId="8" borderId="10" xfId="0" applyFont="1" applyFill="1" applyBorder="1" applyAlignment="1">
      <alignment vertical="center"/>
    </xf>
    <xf numFmtId="3" fontId="21" fillId="8" borderId="10" xfId="0" applyNumberFormat="1" applyFont="1" applyFill="1" applyBorder="1" applyAlignment="1">
      <alignment horizontal="center" wrapText="1"/>
    </xf>
    <xf numFmtId="14" fontId="3" fillId="8" borderId="6" xfId="0" applyNumberFormat="1" applyFont="1" applyFill="1" applyBorder="1" applyAlignment="1">
      <alignment horizontal="center" wrapText="1"/>
    </xf>
    <xf numFmtId="3" fontId="21" fillId="8" borderId="10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wrapText="1"/>
    </xf>
    <xf numFmtId="0" fontId="21" fillId="8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vertical="top" wrapText="1"/>
    </xf>
    <xf numFmtId="0" fontId="21" fillId="9" borderId="10" xfId="0" applyFont="1" applyFill="1" applyBorder="1" applyAlignment="1">
      <alignment vertical="center"/>
    </xf>
    <xf numFmtId="3" fontId="21" fillId="9" borderId="10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wrapText="1"/>
    </xf>
    <xf numFmtId="2" fontId="3" fillId="9" borderId="10" xfId="0" applyNumberFormat="1" applyFont="1" applyFill="1" applyBorder="1" applyAlignment="1">
      <alignment horizontal="center" vertical="center" wrapText="1"/>
    </xf>
    <xf numFmtId="3" fontId="21" fillId="9" borderId="10" xfId="0" applyNumberFormat="1" applyFont="1" applyFill="1" applyBorder="1" applyAlignment="1">
      <alignment horizontal="center" wrapText="1"/>
    </xf>
    <xf numFmtId="0" fontId="21" fillId="9" borderId="10" xfId="0" applyFont="1" applyFill="1" applyBorder="1" applyAlignment="1">
      <alignment horizontal="left" vertical="top" wrapText="1"/>
    </xf>
    <xf numFmtId="0" fontId="21" fillId="9" borderId="10" xfId="0" applyFont="1" applyFill="1" applyBorder="1" applyAlignment="1">
      <alignment vertical="center" wrapText="1"/>
    </xf>
    <xf numFmtId="0" fontId="21" fillId="9" borderId="10" xfId="0" applyFont="1" applyFill="1" applyBorder="1" applyAlignment="1">
      <alignment horizontal="right" vertical="center"/>
    </xf>
    <xf numFmtId="2" fontId="3" fillId="8" borderId="7" xfId="0" applyNumberFormat="1" applyFont="1" applyFill="1" applyBorder="1" applyAlignment="1">
      <alignment horizontal="center" vertical="center" wrapText="1"/>
    </xf>
    <xf numFmtId="3" fontId="12" fillId="8" borderId="10" xfId="0" applyNumberFormat="1" applyFont="1" applyFill="1" applyBorder="1" applyAlignment="1">
      <alignment horizontal="center" vertical="center" wrapText="1"/>
    </xf>
    <xf numFmtId="2" fontId="12" fillId="8" borderId="10" xfId="0" applyNumberFormat="1" applyFont="1" applyFill="1" applyBorder="1" applyAlignment="1">
      <alignment horizontal="center" vertical="center" wrapText="1"/>
    </xf>
    <xf numFmtId="2" fontId="3" fillId="8" borderId="13" xfId="0" applyNumberFormat="1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wrapText="1"/>
    </xf>
    <xf numFmtId="49" fontId="3" fillId="8" borderId="10" xfId="0" applyNumberFormat="1" applyFont="1" applyFill="1" applyBorder="1" applyAlignment="1">
      <alignment horizontal="left"/>
    </xf>
    <xf numFmtId="0" fontId="6" fillId="9" borderId="10" xfId="0" applyFont="1" applyFill="1" applyBorder="1" applyAlignment="1">
      <alignment vertical="center" wrapText="1"/>
    </xf>
    <xf numFmtId="1" fontId="3" fillId="9" borderId="1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center"/>
    </xf>
    <xf numFmtId="1" fontId="3" fillId="8" borderId="13" xfId="0" applyNumberFormat="1" applyFont="1" applyFill="1" applyBorder="1" applyAlignment="1">
      <alignment horizontal="center" vertical="center" wrapText="1"/>
    </xf>
    <xf numFmtId="0" fontId="42" fillId="0" borderId="10" xfId="5" applyFont="1" applyFill="1" applyBorder="1"/>
    <xf numFmtId="0" fontId="42" fillId="0" borderId="10" xfId="5" applyFont="1" applyFill="1" applyBorder="1" applyAlignment="1">
      <alignment wrapText="1"/>
    </xf>
    <xf numFmtId="4" fontId="42" fillId="0" borderId="10" xfId="5" applyNumberFormat="1" applyFont="1" applyFill="1" applyBorder="1"/>
    <xf numFmtId="4" fontId="42" fillId="0" borderId="10" xfId="5" applyNumberFormat="1" applyFont="1" applyFill="1" applyBorder="1" applyAlignment="1">
      <alignment horizontal="center"/>
    </xf>
    <xf numFmtId="0" fontId="4" fillId="8" borderId="10" xfId="5" applyFont="1" applyFill="1" applyBorder="1" applyAlignment="1">
      <alignment horizontal="center" vertical="center" wrapText="1"/>
    </xf>
    <xf numFmtId="165" fontId="21" fillId="9" borderId="10" xfId="0" applyNumberFormat="1" applyFont="1" applyFill="1" applyBorder="1" applyAlignment="1">
      <alignment horizontal="center" vertical="center" wrapText="1"/>
    </xf>
    <xf numFmtId="168" fontId="21" fillId="9" borderId="10" xfId="0" applyNumberFormat="1" applyFont="1" applyFill="1" applyBorder="1" applyAlignment="1">
      <alignment horizontal="left" vertical="center" indent="2"/>
    </xf>
    <xf numFmtId="0" fontId="21" fillId="9" borderId="10" xfId="0" applyFont="1" applyFill="1" applyBorder="1" applyAlignment="1">
      <alignment horizontal="center" vertical="center" wrapText="1"/>
    </xf>
    <xf numFmtId="4" fontId="21" fillId="9" borderId="10" xfId="0" applyNumberFormat="1" applyFont="1" applyFill="1" applyBorder="1" applyAlignment="1">
      <alignment horizontal="center" vertical="center"/>
    </xf>
    <xf numFmtId="165" fontId="23" fillId="9" borderId="10" xfId="0" applyNumberFormat="1" applyFont="1" applyFill="1" applyBorder="1" applyAlignment="1">
      <alignment horizontal="center" vertical="center"/>
    </xf>
    <xf numFmtId="0" fontId="1" fillId="9" borderId="10" xfId="0" applyFont="1" applyFill="1" applyBorder="1"/>
    <xf numFmtId="168" fontId="21" fillId="9" borderId="10" xfId="0" applyNumberFormat="1" applyFont="1" applyFill="1" applyBorder="1" applyAlignment="1">
      <alignment horizontal="center" vertical="center"/>
    </xf>
    <xf numFmtId="0" fontId="42" fillId="4" borderId="10" xfId="5" applyFont="1" applyFill="1" applyBorder="1" applyAlignment="1">
      <alignment wrapText="1"/>
    </xf>
    <xf numFmtId="4" fontId="42" fillId="4" borderId="10" xfId="5" applyNumberFormat="1" applyFont="1" applyFill="1" applyBorder="1" applyAlignment="1">
      <alignment horizontal="center"/>
    </xf>
    <xf numFmtId="4" fontId="42" fillId="0" borderId="10" xfId="5" applyNumberFormat="1" applyFont="1" applyFill="1" applyBorder="1" applyAlignment="1">
      <alignment horizontal="center" vertical="center"/>
    </xf>
    <xf numFmtId="0" fontId="46" fillId="0" borderId="0" xfId="5" applyFont="1" applyFill="1"/>
    <xf numFmtId="0" fontId="12" fillId="15" borderId="2" xfId="0" applyFont="1" applyFill="1" applyBorder="1" applyAlignment="1">
      <alignment horizontal="right" vertical="top" wrapText="1"/>
    </xf>
    <xf numFmtId="0" fontId="16" fillId="15" borderId="10" xfId="0" applyFont="1" applyFill="1" applyBorder="1" applyAlignment="1">
      <alignment vertical="top" wrapText="1"/>
    </xf>
    <xf numFmtId="0" fontId="28" fillId="15" borderId="10" xfId="0" applyFont="1" applyFill="1" applyBorder="1" applyAlignment="1">
      <alignment vertical="center" wrapText="1"/>
    </xf>
    <xf numFmtId="2" fontId="28" fillId="15" borderId="10" xfId="0" applyNumberFormat="1" applyFont="1" applyFill="1" applyBorder="1" applyAlignment="1">
      <alignment horizontal="right" vertical="center" wrapText="1"/>
    </xf>
    <xf numFmtId="0" fontId="28" fillId="15" borderId="10" xfId="0" applyFont="1" applyFill="1" applyBorder="1" applyAlignment="1">
      <alignment horizontal="right" vertical="center" wrapText="1"/>
    </xf>
    <xf numFmtId="0" fontId="28" fillId="15" borderId="10" xfId="0" applyFont="1" applyFill="1" applyBorder="1" applyAlignment="1">
      <alignment horizontal="left" vertical="center" wrapText="1"/>
    </xf>
    <xf numFmtId="14" fontId="28" fillId="15" borderId="10" xfId="0" applyNumberFormat="1" applyFont="1" applyFill="1" applyBorder="1" applyAlignment="1">
      <alignment vertical="center" wrapText="1"/>
    </xf>
    <xf numFmtId="2" fontId="28" fillId="15" borderId="10" xfId="0" applyNumberFormat="1" applyFont="1" applyFill="1" applyBorder="1" applyAlignment="1">
      <alignment horizontal="right" vertical="top" wrapText="1"/>
    </xf>
    <xf numFmtId="0" fontId="28" fillId="15" borderId="10" xfId="0" applyFont="1" applyFill="1" applyBorder="1" applyAlignment="1">
      <alignment horizontal="right" vertical="top" wrapText="1"/>
    </xf>
    <xf numFmtId="0" fontId="28" fillId="9" borderId="10" xfId="0" applyFont="1" applyFill="1" applyBorder="1" applyAlignment="1">
      <alignment vertical="center" wrapText="1"/>
    </xf>
    <xf numFmtId="0" fontId="28" fillId="9" borderId="10" xfId="0" applyFont="1" applyFill="1" applyBorder="1" applyAlignment="1">
      <alignment horizontal="center" vertical="center" wrapText="1"/>
    </xf>
    <xf numFmtId="14" fontId="28" fillId="9" borderId="10" xfId="0" applyNumberFormat="1" applyFont="1" applyFill="1" applyBorder="1" applyAlignment="1">
      <alignment vertical="center" wrapText="1"/>
    </xf>
    <xf numFmtId="2" fontId="28" fillId="9" borderId="10" xfId="3" applyNumberFormat="1" applyFont="1" applyFill="1" applyBorder="1" applyAlignment="1">
      <alignment horizontal="right" vertical="top" wrapText="1"/>
    </xf>
    <xf numFmtId="0" fontId="28" fillId="9" borderId="10" xfId="0" applyFont="1" applyFill="1" applyBorder="1" applyAlignment="1">
      <alignment horizontal="right" vertical="top" wrapText="1"/>
    </xf>
    <xf numFmtId="2" fontId="12" fillId="9" borderId="10" xfId="0" applyNumberFormat="1" applyFont="1" applyFill="1" applyBorder="1" applyAlignment="1">
      <alignment horizontal="right" vertical="top" wrapText="1"/>
    </xf>
    <xf numFmtId="0" fontId="12" fillId="9" borderId="10" xfId="0" applyFont="1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left" vertical="center" wrapText="1"/>
    </xf>
    <xf numFmtId="0" fontId="4" fillId="9" borderId="10" xfId="0" applyFont="1" applyFill="1" applyBorder="1" applyAlignment="1">
      <alignment horizontal="center" vertical="center" wrapText="1"/>
    </xf>
    <xf numFmtId="14" fontId="3" fillId="9" borderId="10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49" fontId="12" fillId="9" borderId="10" xfId="0" applyNumberFormat="1" applyFont="1" applyFill="1" applyBorder="1" applyAlignment="1">
      <alignment horizontal="left" vertical="top" wrapText="1"/>
    </xf>
    <xf numFmtId="49" fontId="3" fillId="7" borderId="10" xfId="0" applyNumberFormat="1" applyFont="1" applyFill="1" applyBorder="1" applyAlignment="1">
      <alignment horizontal="left" vertical="center" wrapText="1"/>
    </xf>
    <xf numFmtId="49" fontId="3" fillId="9" borderId="10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8" borderId="10" xfId="0" applyNumberFormat="1" applyFont="1" applyFill="1" applyBorder="1" applyAlignment="1">
      <alignment horizontal="left" vertical="center" wrapText="1"/>
    </xf>
    <xf numFmtId="49" fontId="3" fillId="7" borderId="10" xfId="0" applyNumberFormat="1" applyFont="1" applyFill="1" applyBorder="1" applyAlignment="1">
      <alignment horizontal="left" vertical="top" wrapText="1"/>
    </xf>
    <xf numFmtId="14" fontId="28" fillId="9" borderId="10" xfId="0" applyNumberFormat="1" applyFont="1" applyFill="1" applyBorder="1" applyAlignment="1">
      <alignment vertical="top" wrapText="1"/>
    </xf>
    <xf numFmtId="0" fontId="49" fillId="9" borderId="10" xfId="0" applyFont="1" applyFill="1" applyBorder="1" applyAlignment="1">
      <alignment vertical="top" wrapText="1"/>
    </xf>
    <xf numFmtId="0" fontId="50" fillId="9" borderId="10" xfId="0" applyFont="1" applyFill="1" applyBorder="1" applyAlignment="1">
      <alignment vertical="top" wrapText="1"/>
    </xf>
    <xf numFmtId="0" fontId="0" fillId="15" borderId="10" xfId="4" applyFont="1" applyFill="1" applyBorder="1" applyAlignment="1">
      <alignment wrapText="1"/>
    </xf>
    <xf numFmtId="3" fontId="28" fillId="9" borderId="10" xfId="0" applyNumberFormat="1" applyFont="1" applyFill="1" applyBorder="1" applyAlignment="1">
      <alignment horizontal="center"/>
    </xf>
    <xf numFmtId="0" fontId="28" fillId="9" borderId="6" xfId="0" applyFont="1" applyFill="1" applyBorder="1" applyAlignment="1">
      <alignment horizontal="center" wrapText="1"/>
    </xf>
    <xf numFmtId="2" fontId="28" fillId="9" borderId="10" xfId="0" applyNumberFormat="1" applyFont="1" applyFill="1" applyBorder="1" applyAlignment="1">
      <alignment horizontal="center" vertical="center" wrapText="1"/>
    </xf>
    <xf numFmtId="0" fontId="42" fillId="0" borderId="10" xfId="5" applyFont="1" applyFill="1" applyBorder="1" applyAlignment="1">
      <alignment horizontal="left" wrapText="1"/>
    </xf>
    <xf numFmtId="0" fontId="42" fillId="4" borderId="10" xfId="5" applyFont="1" applyFill="1" applyBorder="1" applyAlignment="1">
      <alignment horizontal="left" wrapText="1"/>
    </xf>
    <xf numFmtId="0" fontId="12" fillId="9" borderId="1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center" vertical="center"/>
    </xf>
    <xf numFmtId="3" fontId="12" fillId="9" borderId="10" xfId="0" applyNumberFormat="1" applyFont="1" applyFill="1" applyBorder="1" applyAlignment="1">
      <alignment horizontal="right" vertical="center"/>
    </xf>
    <xf numFmtId="0" fontId="15" fillId="9" borderId="10" xfId="0" applyFont="1" applyFill="1" applyBorder="1" applyAlignment="1">
      <alignment vertical="center" wrapText="1"/>
    </xf>
    <xf numFmtId="0" fontId="15" fillId="9" borderId="6" xfId="0" applyFont="1" applyFill="1" applyBorder="1" applyAlignment="1">
      <alignment vertical="center" wrapText="1"/>
    </xf>
    <xf numFmtId="0" fontId="51" fillId="9" borderId="14" xfId="0" applyFont="1" applyFill="1" applyBorder="1" applyAlignment="1">
      <alignment horizontal="center" vertical="center" wrapText="1"/>
    </xf>
    <xf numFmtId="3" fontId="51" fillId="9" borderId="15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horizontal="center" vertical="center" wrapText="1"/>
    </xf>
    <xf numFmtId="4" fontId="12" fillId="9" borderId="10" xfId="0" applyNumberFormat="1" applyFont="1" applyFill="1" applyBorder="1" applyAlignment="1">
      <alignment vertical="center" wrapText="1"/>
    </xf>
    <xf numFmtId="0" fontId="15" fillId="15" borderId="10" xfId="0" applyFont="1" applyFill="1" applyBorder="1" applyAlignment="1">
      <alignment vertical="top" wrapText="1"/>
    </xf>
    <xf numFmtId="4" fontId="47" fillId="8" borderId="10" xfId="5" applyNumberFormat="1" applyFont="1" applyFill="1" applyBorder="1"/>
    <xf numFmtId="0" fontId="43" fillId="0" borderId="0" xfId="5" applyFont="1" applyAlignment="1">
      <alignment horizontal="left" vertical="top" wrapText="1"/>
    </xf>
    <xf numFmtId="0" fontId="47" fillId="0" borderId="0" xfId="5" applyFont="1" applyAlignment="1">
      <alignment horizontal="center" vertical="center" wrapText="1"/>
    </xf>
    <xf numFmtId="0" fontId="47" fillId="2" borderId="10" xfId="5" applyFont="1" applyFill="1" applyBorder="1" applyAlignment="1">
      <alignment horizontal="center" vertical="center" wrapText="1"/>
    </xf>
    <xf numFmtId="0" fontId="47" fillId="2" borderId="7" xfId="5" applyFont="1" applyFill="1" applyBorder="1" applyAlignment="1">
      <alignment horizontal="center" vertical="center" wrapText="1"/>
    </xf>
    <xf numFmtId="0" fontId="47" fillId="2" borderId="2" xfId="5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6" fillId="5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15" borderId="7" xfId="0" applyFont="1" applyFill="1" applyBorder="1" applyAlignment="1">
      <alignment horizontal="left" vertical="center" wrapText="1"/>
    </xf>
    <xf numFmtId="0" fontId="12" fillId="15" borderId="13" xfId="0" applyFont="1" applyFill="1" applyBorder="1" applyAlignment="1">
      <alignment horizontal="left" vertical="center" wrapText="1"/>
    </xf>
    <xf numFmtId="0" fontId="12" fillId="15" borderId="2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4" fontId="12" fillId="8" borderId="7" xfId="0" applyNumberFormat="1" applyFont="1" applyFill="1" applyBorder="1" applyAlignment="1">
      <alignment horizontal="right" vertical="center" wrapText="1"/>
    </xf>
    <xf numFmtId="4" fontId="12" fillId="8" borderId="2" xfId="0" applyNumberFormat="1" applyFont="1" applyFill="1" applyBorder="1" applyAlignment="1">
      <alignment horizontal="right" vertical="center" wrapText="1"/>
    </xf>
    <xf numFmtId="0" fontId="32" fillId="16" borderId="4" xfId="0" applyFont="1" applyFill="1" applyBorder="1" applyAlignment="1">
      <alignment horizontal="left" vertical="center" wrapText="1"/>
    </xf>
    <xf numFmtId="0" fontId="32" fillId="16" borderId="5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 wrapText="1"/>
    </xf>
    <xf numFmtId="4" fontId="12" fillId="8" borderId="13" xfId="0" applyNumberFormat="1" applyFont="1" applyFill="1" applyBorder="1" applyAlignment="1">
      <alignment horizontal="right" vertical="center" wrapText="1"/>
    </xf>
    <xf numFmtId="0" fontId="12" fillId="15" borderId="10" xfId="0" applyFont="1" applyFill="1" applyBorder="1" applyAlignment="1">
      <alignment horizontal="right" vertical="center" wrapText="1"/>
    </xf>
    <xf numFmtId="2" fontId="12" fillId="15" borderId="10" xfId="0" applyNumberFormat="1" applyFont="1" applyFill="1" applyBorder="1" applyAlignment="1">
      <alignment horizontal="right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4" fontId="12" fillId="15" borderId="7" xfId="0" applyNumberFormat="1" applyFont="1" applyFill="1" applyBorder="1" applyAlignment="1">
      <alignment horizontal="right" vertical="center" wrapText="1"/>
    </xf>
    <xf numFmtId="4" fontId="12" fillId="15" borderId="2" xfId="0" applyNumberFormat="1" applyFont="1" applyFill="1" applyBorder="1" applyAlignment="1">
      <alignment horizontal="right" vertical="center" wrapText="1"/>
    </xf>
    <xf numFmtId="0" fontId="4" fillId="15" borderId="7" xfId="0" applyFont="1" applyFill="1" applyBorder="1" applyAlignment="1">
      <alignment horizontal="left" vertical="top" wrapText="1"/>
    </xf>
    <xf numFmtId="0" fontId="4" fillId="15" borderId="2" xfId="0" applyFont="1" applyFill="1" applyBorder="1" applyAlignment="1">
      <alignment horizontal="left" vertical="top" wrapText="1"/>
    </xf>
    <xf numFmtId="14" fontId="12" fillId="15" borderId="10" xfId="0" applyNumberFormat="1" applyFont="1" applyFill="1" applyBorder="1" applyAlignment="1">
      <alignment horizontal="right" vertical="center" wrapText="1"/>
    </xf>
    <xf numFmtId="0" fontId="12" fillId="15" borderId="10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65" fontId="21" fillId="8" borderId="7" xfId="0" applyNumberFormat="1" applyFont="1" applyFill="1" applyBorder="1" applyAlignment="1">
      <alignment horizontal="center" vertical="center"/>
    </xf>
    <xf numFmtId="165" fontId="21" fillId="8" borderId="2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64" fontId="39" fillId="0" borderId="10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164" fontId="39" fillId="0" borderId="18" xfId="0" applyNumberFormat="1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2" fillId="9" borderId="7" xfId="0" applyFont="1" applyFill="1" applyBorder="1" applyAlignment="1">
      <alignment horizontal="right" vertical="center" wrapText="1"/>
    </xf>
    <xf numFmtId="0" fontId="12" fillId="9" borderId="13" xfId="0" applyFont="1" applyFill="1" applyBorder="1" applyAlignment="1">
      <alignment horizontal="right" vertical="center" wrapText="1"/>
    </xf>
    <xf numFmtId="0" fontId="12" fillId="9" borderId="2" xfId="0" applyFont="1" applyFill="1" applyBorder="1" applyAlignment="1">
      <alignment horizontal="righ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right" vertical="top" wrapText="1"/>
    </xf>
    <xf numFmtId="0" fontId="12" fillId="9" borderId="2" xfId="0" applyFont="1" applyFill="1" applyBorder="1" applyAlignment="1">
      <alignment horizontal="right" vertical="top" wrapText="1"/>
    </xf>
    <xf numFmtId="14" fontId="12" fillId="9" borderId="7" xfId="0" applyNumberFormat="1" applyFont="1" applyFill="1" applyBorder="1" applyAlignment="1">
      <alignment horizontal="right" vertical="top" wrapText="1"/>
    </xf>
    <xf numFmtId="14" fontId="12" fillId="9" borderId="2" xfId="0" applyNumberFormat="1" applyFont="1" applyFill="1" applyBorder="1" applyAlignment="1">
      <alignment horizontal="right" vertical="top" wrapText="1"/>
    </xf>
    <xf numFmtId="43" fontId="12" fillId="9" borderId="7" xfId="3" applyFont="1" applyFill="1" applyBorder="1" applyAlignment="1">
      <alignment horizontal="center" vertical="top" wrapText="1"/>
    </xf>
    <xf numFmtId="43" fontId="12" fillId="9" borderId="2" xfId="3" applyFont="1" applyFill="1" applyBorder="1" applyAlignment="1">
      <alignment horizontal="center" vertical="top" wrapText="1"/>
    </xf>
    <xf numFmtId="0" fontId="26" fillId="9" borderId="7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26" fillId="8" borderId="7" xfId="0" applyFont="1" applyFill="1" applyBorder="1" applyAlignment="1">
      <alignment horizontal="left" vertical="top" wrapText="1"/>
    </xf>
    <xf numFmtId="0" fontId="26" fillId="8" borderId="13" xfId="0" applyFont="1" applyFill="1" applyBorder="1" applyAlignment="1">
      <alignment horizontal="left" vertical="top" wrapText="1"/>
    </xf>
    <xf numFmtId="0" fontId="26" fillId="8" borderId="2" xfId="0" applyFont="1" applyFill="1" applyBorder="1" applyAlignment="1">
      <alignment horizontal="left" vertical="top" wrapText="1"/>
    </xf>
    <xf numFmtId="14" fontId="26" fillId="8" borderId="7" xfId="0" applyNumberFormat="1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8" borderId="2" xfId="0" applyFont="1" applyFill="1" applyBorder="1" applyAlignment="1">
      <alignment horizontal="center" vertical="top" wrapText="1"/>
    </xf>
    <xf numFmtId="43" fontId="26" fillId="8" borderId="7" xfId="3" applyFont="1" applyFill="1" applyBorder="1" applyAlignment="1">
      <alignment horizontal="center" vertical="center" wrapText="1"/>
    </xf>
    <xf numFmtId="43" fontId="26" fillId="8" borderId="13" xfId="3" applyFont="1" applyFill="1" applyBorder="1" applyAlignment="1">
      <alignment horizontal="center" vertical="center" wrapText="1"/>
    </xf>
    <xf numFmtId="43" fontId="26" fillId="8" borderId="2" xfId="3" applyFont="1" applyFill="1" applyBorder="1" applyAlignment="1">
      <alignment horizontal="center" vertical="center" wrapText="1"/>
    </xf>
    <xf numFmtId="43" fontId="26" fillId="8" borderId="7" xfId="0" applyNumberFormat="1" applyFont="1" applyFill="1" applyBorder="1" applyAlignment="1">
      <alignment horizontal="center" vertical="center" wrapText="1"/>
    </xf>
    <xf numFmtId="43" fontId="26" fillId="8" borderId="13" xfId="0" applyNumberFormat="1" applyFont="1" applyFill="1" applyBorder="1" applyAlignment="1">
      <alignment horizontal="center" vertical="center" wrapText="1"/>
    </xf>
    <xf numFmtId="43" fontId="26" fillId="8" borderId="2" xfId="0" applyNumberFormat="1" applyFont="1" applyFill="1" applyBorder="1" applyAlignment="1">
      <alignment horizontal="center" vertical="center" wrapText="1"/>
    </xf>
    <xf numFmtId="166" fontId="42" fillId="8" borderId="9" xfId="3" applyNumberFormat="1" applyFont="1" applyFill="1" applyBorder="1" applyAlignment="1">
      <alignment horizontal="center" vertical="center" wrapText="1"/>
    </xf>
    <xf numFmtId="166" fontId="42" fillId="8" borderId="17" xfId="3" applyNumberFormat="1" applyFont="1" applyFill="1" applyBorder="1" applyAlignment="1">
      <alignment horizontal="center" vertical="center" wrapText="1"/>
    </xf>
    <xf numFmtId="166" fontId="42" fillId="8" borderId="1" xfId="3" applyNumberFormat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right" vertical="top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3" fontId="3" fillId="8" borderId="7" xfId="0" applyNumberFormat="1" applyFont="1" applyFill="1" applyBorder="1" applyAlignment="1">
      <alignment horizontal="center" vertical="center" wrapText="1"/>
    </xf>
    <xf numFmtId="3" fontId="3" fillId="8" borderId="13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3" fontId="3" fillId="9" borderId="7" xfId="0" applyNumberFormat="1" applyFont="1" applyFill="1" applyBorder="1" applyAlignment="1">
      <alignment horizontal="right" vertical="top" wrapText="1"/>
    </xf>
    <xf numFmtId="3" fontId="3" fillId="9" borderId="2" xfId="0" applyNumberFormat="1" applyFont="1" applyFill="1" applyBorder="1" applyAlignment="1">
      <alignment horizontal="right" vertical="top" wrapText="1"/>
    </xf>
    <xf numFmtId="0" fontId="3" fillId="9" borderId="7" xfId="0" applyFont="1" applyFill="1" applyBorder="1" applyAlignment="1">
      <alignment horizontal="right" vertical="top" wrapText="1"/>
    </xf>
    <xf numFmtId="0" fontId="3" fillId="9" borderId="2" xfId="0" applyFont="1" applyFill="1" applyBorder="1" applyAlignment="1">
      <alignment horizontal="right" vertical="top" wrapText="1"/>
    </xf>
    <xf numFmtId="0" fontId="20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  <xf numFmtId="0" fontId="14" fillId="8" borderId="7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left" vertical="center" wrapText="1"/>
    </xf>
    <xf numFmtId="2" fontId="3" fillId="8" borderId="7" xfId="0" applyNumberFormat="1" applyFont="1" applyFill="1" applyBorder="1" applyAlignment="1">
      <alignment horizontal="center" vertical="center" wrapText="1"/>
    </xf>
    <xf numFmtId="2" fontId="3" fillId="8" borderId="2" xfId="0" applyNumberFormat="1" applyFont="1" applyFill="1" applyBorder="1" applyAlignment="1">
      <alignment horizontal="center" vertical="center" wrapText="1"/>
    </xf>
    <xf numFmtId="2" fontId="3" fillId="8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2" fontId="3" fillId="8" borderId="13" xfId="0" applyNumberFormat="1" applyFont="1" applyFill="1" applyBorder="1" applyAlignment="1">
      <alignment horizontal="center" vertical="center" wrapText="1"/>
    </xf>
    <xf numFmtId="2" fontId="3" fillId="9" borderId="7" xfId="0" applyNumberFormat="1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44" fillId="0" borderId="0" xfId="5" applyFont="1" applyAlignment="1">
      <alignment horizontal="center" vertical="center" wrapText="1"/>
    </xf>
    <xf numFmtId="43" fontId="43" fillId="0" borderId="0" xfId="6" applyFont="1" applyAlignment="1">
      <alignment horizontal="left" vertical="center" wrapText="1"/>
    </xf>
    <xf numFmtId="43" fontId="4" fillId="0" borderId="0" xfId="6" applyFont="1" applyAlignment="1">
      <alignment horizontal="left" vertical="center" wrapText="1"/>
    </xf>
  </cellXfs>
  <cellStyles count="8">
    <cellStyle name="Comma" xfId="3" builtinId="3"/>
    <cellStyle name="Comma 2" xfId="2" xr:uid="{00000000-0005-0000-0000-000001000000}"/>
    <cellStyle name="Comma 3" xfId="6" xr:uid="{5DD183F6-4EE3-4230-A605-2A950960297B}"/>
    <cellStyle name="Komats 2" xfId="7" xr:uid="{B1672DC5-BCA9-457A-AB94-E1C3783EBB44}"/>
    <cellStyle name="Normal" xfId="0" builtinId="0"/>
    <cellStyle name="Normal 2" xfId="5" xr:uid="{9343E2C0-26F1-4FE6-9B52-0D5152293E45}"/>
    <cellStyle name="Normal 3" xfId="1" xr:uid="{00000000-0005-0000-0000-000003000000}"/>
    <cellStyle name="Normal 3 2" xfId="4" xr:uid="{233E8297-1190-457E-9299-2FC676BE6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079E-C0C2-47B2-881C-4AB7ABD6A245}">
  <sheetPr>
    <tabColor theme="9" tint="0.39997558519241921"/>
  </sheetPr>
  <dimension ref="A1:W43"/>
  <sheetViews>
    <sheetView tabSelected="1" view="pageBreakPreview" zoomScale="60" zoomScaleNormal="80" workbookViewId="0">
      <selection activeCell="A11" sqref="A11:XFD11"/>
    </sheetView>
  </sheetViews>
  <sheetFormatPr defaultColWidth="9.1796875" defaultRowHeight="14" x14ac:dyDescent="0.3"/>
  <cols>
    <col min="1" max="1" width="22.453125" style="213" customWidth="1"/>
    <col min="2" max="2" width="11.453125" style="213" customWidth="1"/>
    <col min="3" max="3" width="16.54296875" style="213" customWidth="1"/>
    <col min="4" max="4" width="15.453125" style="213" customWidth="1"/>
    <col min="5" max="5" width="19" style="213" customWidth="1"/>
    <col min="6" max="8" width="16.26953125" style="213" customWidth="1"/>
    <col min="9" max="9" width="14.1796875" style="213" customWidth="1"/>
    <col min="10" max="10" width="16" style="213" customWidth="1"/>
    <col min="11" max="11" width="12.54296875" style="213" customWidth="1"/>
    <col min="12" max="12" width="14.7265625" style="213" customWidth="1"/>
    <col min="13" max="13" width="15.1796875" style="213" customWidth="1"/>
    <col min="14" max="15" width="15.453125" style="213" customWidth="1"/>
    <col min="16" max="16" width="13.81640625" style="213" customWidth="1"/>
    <col min="17" max="18" width="15.453125" style="213" customWidth="1"/>
    <col min="19" max="20" width="16.26953125" style="213" customWidth="1"/>
    <col min="21" max="21" width="20.26953125" style="213" customWidth="1"/>
    <col min="22" max="22" width="12.26953125" style="213" bestFit="1" customWidth="1"/>
    <col min="23" max="23" width="16" style="213" customWidth="1"/>
    <col min="24" max="16384" width="9.1796875" style="213"/>
  </cols>
  <sheetData>
    <row r="1" spans="1:21" ht="45.75" customHeight="1" x14ac:dyDescent="0.3">
      <c r="S1" s="580" t="s">
        <v>914</v>
      </c>
      <c r="T1" s="580"/>
    </row>
    <row r="2" spans="1:21" ht="24" customHeight="1" x14ac:dyDescent="0.3">
      <c r="A2" s="581" t="s">
        <v>906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</row>
    <row r="3" spans="1:21" ht="29.25" customHeight="1" x14ac:dyDescent="0.3">
      <c r="A3" s="227" t="s">
        <v>21</v>
      </c>
      <c r="B3" s="582" t="s">
        <v>2</v>
      </c>
      <c r="C3" s="582"/>
      <c r="D3" s="582"/>
      <c r="E3" s="582" t="s">
        <v>913</v>
      </c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225"/>
      <c r="Q3" s="225"/>
      <c r="R3" s="264"/>
      <c r="S3" s="582" t="s">
        <v>13</v>
      </c>
      <c r="T3" s="583" t="s">
        <v>1050</v>
      </c>
      <c r="U3" s="582" t="s">
        <v>661</v>
      </c>
    </row>
    <row r="4" spans="1:21" ht="74.25" customHeight="1" x14ac:dyDescent="0.3">
      <c r="A4" s="227"/>
      <c r="B4" s="225" t="s">
        <v>3</v>
      </c>
      <c r="C4" s="225" t="s">
        <v>1</v>
      </c>
      <c r="D4" s="227" t="s">
        <v>0</v>
      </c>
      <c r="E4" s="225" t="s">
        <v>1051</v>
      </c>
      <c r="F4" s="225" t="s">
        <v>919</v>
      </c>
      <c r="G4" s="227" t="s">
        <v>912</v>
      </c>
      <c r="H4" s="226" t="s">
        <v>1054</v>
      </c>
      <c r="I4" s="226" t="s">
        <v>1048</v>
      </c>
      <c r="J4" s="226" t="s">
        <v>1049</v>
      </c>
      <c r="K4" s="225" t="s">
        <v>14</v>
      </c>
      <c r="L4" s="225" t="s">
        <v>15</v>
      </c>
      <c r="M4" s="225" t="s">
        <v>16</v>
      </c>
      <c r="N4" s="225" t="s">
        <v>22</v>
      </c>
      <c r="O4" s="225" t="s">
        <v>850</v>
      </c>
      <c r="P4" s="225" t="s">
        <v>907</v>
      </c>
      <c r="Q4" s="225" t="s">
        <v>908</v>
      </c>
      <c r="R4" s="264" t="s">
        <v>1055</v>
      </c>
      <c r="S4" s="582"/>
      <c r="T4" s="584"/>
      <c r="U4" s="582"/>
    </row>
    <row r="5" spans="1:21" ht="9" customHeight="1" x14ac:dyDescent="0.3">
      <c r="A5" s="223"/>
      <c r="B5" s="223"/>
      <c r="C5" s="223"/>
      <c r="D5" s="223"/>
      <c r="E5" s="223"/>
      <c r="F5" s="223"/>
      <c r="G5" s="223"/>
      <c r="H5" s="223"/>
      <c r="I5" s="224"/>
      <c r="J5" s="224"/>
      <c r="K5" s="216"/>
      <c r="L5" s="223"/>
      <c r="M5" s="223"/>
      <c r="N5" s="223"/>
      <c r="O5" s="223"/>
      <c r="P5" s="223"/>
      <c r="Q5" s="223"/>
      <c r="R5" s="223"/>
      <c r="S5" s="223"/>
      <c r="T5" s="223"/>
      <c r="U5" s="223"/>
    </row>
    <row r="6" spans="1:21" x14ac:dyDescent="0.3">
      <c r="A6" s="222"/>
      <c r="B6" s="222"/>
      <c r="C6" s="222"/>
      <c r="D6" s="218">
        <f>SUM(D7:D28)</f>
        <v>40254832</v>
      </c>
      <c r="E6" s="221">
        <f>SUM(E7:E28)</f>
        <v>8287423</v>
      </c>
      <c r="F6" s="221">
        <f>SUM(F7:F28)</f>
        <v>8834927</v>
      </c>
      <c r="G6" s="220">
        <f>SUM(G7:G28)</f>
        <v>19541308</v>
      </c>
      <c r="H6" s="219">
        <f t="shared" ref="H6:R6" si="0">SUM(H7:H28)</f>
        <v>21.66</v>
      </c>
      <c r="I6" s="219">
        <f t="shared" si="0"/>
        <v>9307.83</v>
      </c>
      <c r="J6" s="219">
        <f t="shared" si="0"/>
        <v>5110.59</v>
      </c>
      <c r="K6" s="219">
        <f t="shared" si="0"/>
        <v>10958.009999999998</v>
      </c>
      <c r="L6" s="219">
        <f t="shared" si="0"/>
        <v>1994933.3499999987</v>
      </c>
      <c r="M6" s="219">
        <f t="shared" si="0"/>
        <v>3538803.824</v>
      </c>
      <c r="N6" s="219">
        <f t="shared" si="0"/>
        <v>3600249.4400000069</v>
      </c>
      <c r="O6" s="219">
        <f t="shared" si="0"/>
        <v>3647055.059999994</v>
      </c>
      <c r="P6" s="219">
        <f t="shared" si="0"/>
        <v>3359719.4899999993</v>
      </c>
      <c r="Q6" s="219">
        <f t="shared" si="0"/>
        <v>2953922.0799999838</v>
      </c>
      <c r="R6" s="219">
        <f t="shared" si="0"/>
        <v>435657.71</v>
      </c>
      <c r="S6" s="441">
        <f>SUM(S7:S28)</f>
        <v>20713524</v>
      </c>
      <c r="T6" s="579">
        <f>SUM(T7:T28)</f>
        <v>2418958</v>
      </c>
      <c r="U6" s="218">
        <f>SUM(U7:U28)</f>
        <v>14440.080000000002</v>
      </c>
    </row>
    <row r="7" spans="1:21" x14ac:dyDescent="0.3">
      <c r="A7" s="515" t="s">
        <v>56</v>
      </c>
      <c r="B7" s="516" t="s">
        <v>440</v>
      </c>
      <c r="C7" s="516" t="s">
        <v>441</v>
      </c>
      <c r="D7" s="517">
        <v>12624</v>
      </c>
      <c r="E7" s="517">
        <v>0</v>
      </c>
      <c r="F7" s="517">
        <v>0</v>
      </c>
      <c r="G7" s="517">
        <f>ROUNDUP(SUM(Kopsavilkums!K7:R7),0)</f>
        <v>0</v>
      </c>
      <c r="H7" s="518" t="s">
        <v>80</v>
      </c>
      <c r="I7" s="518" t="s">
        <v>80</v>
      </c>
      <c r="J7" s="518" t="s">
        <v>80</v>
      </c>
      <c r="K7" s="518" t="s">
        <v>80</v>
      </c>
      <c r="L7" s="518" t="s">
        <v>80</v>
      </c>
      <c r="M7" s="518" t="s">
        <v>80</v>
      </c>
      <c r="N7" s="518" t="s">
        <v>80</v>
      </c>
      <c r="O7" s="518" t="s">
        <v>80</v>
      </c>
      <c r="P7" s="518" t="s">
        <v>80</v>
      </c>
      <c r="Q7" s="518" t="s">
        <v>80</v>
      </c>
      <c r="R7" s="518" t="s">
        <v>80</v>
      </c>
      <c r="S7" s="517">
        <f>D7-G7</f>
        <v>12624</v>
      </c>
      <c r="T7" s="517">
        <f>G7-E7-F7</f>
        <v>0</v>
      </c>
      <c r="U7" s="517"/>
    </row>
    <row r="8" spans="1:21" x14ac:dyDescent="0.3">
      <c r="A8" s="515" t="s">
        <v>117</v>
      </c>
      <c r="B8" s="516" t="s">
        <v>76</v>
      </c>
      <c r="C8" s="516" t="s">
        <v>77</v>
      </c>
      <c r="D8" s="517">
        <v>647610</v>
      </c>
      <c r="E8" s="517">
        <v>79933</v>
      </c>
      <c r="F8" s="517">
        <v>0</v>
      </c>
      <c r="G8" s="517">
        <f>ROUNDUP(SUM(Kopsavilkums!K8:R8),0)</f>
        <v>129862</v>
      </c>
      <c r="H8" s="518" t="s">
        <v>80</v>
      </c>
      <c r="I8" s="518">
        <f>Vidz_V!I33</f>
        <v>655.29</v>
      </c>
      <c r="J8" s="518">
        <f>Vidz_V!I32</f>
        <v>660.45</v>
      </c>
      <c r="K8" s="518" t="s">
        <v>80</v>
      </c>
      <c r="L8" s="518">
        <f>Vidz_V!I24+Vidz_V!I25+Vidz_V!I31+Vidz_V!I34</f>
        <v>13619.249999999998</v>
      </c>
      <c r="M8" s="518">
        <f>Vidz_V!I12+Vidz_V!I16+Vidz_V!I23+Vidz_V!I38</f>
        <v>66312.84</v>
      </c>
      <c r="N8" s="518">
        <f>Vidz_V!I17</f>
        <v>44315.040000000001</v>
      </c>
      <c r="O8" s="518">
        <f>Vidz_V!I29</f>
        <v>0</v>
      </c>
      <c r="P8" s="518">
        <f>Vidz_V!I11+Vidz_V!I14+Vidz_V!I21+Vidz_V!I22+Vidz_V!I37</f>
        <v>0</v>
      </c>
      <c r="Q8" s="518">
        <f>Vidz_V!I20</f>
        <v>5614.4</v>
      </c>
      <c r="R8" s="518" t="s">
        <v>80</v>
      </c>
      <c r="S8" s="517">
        <f t="shared" ref="S8:S28" si="1">D8-G8</f>
        <v>517748</v>
      </c>
      <c r="T8" s="517">
        <f>G8-E8-F8</f>
        <v>49929</v>
      </c>
      <c r="U8" s="517">
        <f>I8+J8</f>
        <v>1315.74</v>
      </c>
    </row>
    <row r="9" spans="1:21" x14ac:dyDescent="0.3">
      <c r="A9" s="515" t="s">
        <v>57</v>
      </c>
      <c r="B9" s="516" t="s">
        <v>118</v>
      </c>
      <c r="C9" s="516" t="s">
        <v>566</v>
      </c>
      <c r="D9" s="517">
        <v>2900500</v>
      </c>
      <c r="E9" s="517">
        <v>5162</v>
      </c>
      <c r="F9" s="517">
        <v>0</v>
      </c>
      <c r="G9" s="517">
        <f>ROUNDUP(SUM(Kopsavilkums!K9:R9),0)</f>
        <v>768944</v>
      </c>
      <c r="H9" s="518" t="s">
        <v>80</v>
      </c>
      <c r="I9" s="518" t="s">
        <v>80</v>
      </c>
      <c r="J9" s="518" t="s">
        <v>80</v>
      </c>
      <c r="K9" s="518" t="s">
        <v>80</v>
      </c>
      <c r="L9" s="518" t="s">
        <v>80</v>
      </c>
      <c r="M9" s="518">
        <f>Jēk_BŪV_IV!J10</f>
        <v>5161.8599999999997</v>
      </c>
      <c r="N9" s="518" t="s">
        <v>80</v>
      </c>
      <c r="O9" s="518" t="s">
        <v>80</v>
      </c>
      <c r="P9" s="518">
        <f>Jēk_BŪV_IV!J11</f>
        <v>110352</v>
      </c>
      <c r="Q9" s="518">
        <f>Jēk_BŪV_IV!J13+Jēk_BŪV_IV!J14+Jēk_BŪV_IV!J15+Jēk_BŪV_IV!J24+Jēk_BŪV_IV!J25</f>
        <v>223435.99000000002</v>
      </c>
      <c r="R9" s="518">
        <f>Jēk_BŪV_IV!J16+Jēk_BŪV_IV!J17+Jēk_BŪV_IV!J18+Jēk_BŪV_IV!J19+Jēk_BŪV_IV!J26+Jēk_BŪV_IV!J27</f>
        <v>429993.94</v>
      </c>
      <c r="S9" s="517">
        <f t="shared" si="1"/>
        <v>2131556</v>
      </c>
      <c r="T9" s="517">
        <f t="shared" ref="T9:T28" si="2">G9-E9-F9</f>
        <v>763782</v>
      </c>
      <c r="U9" s="517"/>
    </row>
    <row r="10" spans="1:21" x14ac:dyDescent="0.3">
      <c r="A10" s="515" t="s">
        <v>58</v>
      </c>
      <c r="B10" s="516" t="s">
        <v>74</v>
      </c>
      <c r="C10" s="516" t="s">
        <v>113</v>
      </c>
      <c r="D10" s="517">
        <v>1520796</v>
      </c>
      <c r="E10" s="517">
        <v>4679</v>
      </c>
      <c r="F10" s="517">
        <v>0</v>
      </c>
      <c r="G10" s="517">
        <f>ROUNDUP(SUM(Kopsavilkums!K10:R10),0)</f>
        <v>41083</v>
      </c>
      <c r="H10" s="518" t="s">
        <v>80</v>
      </c>
      <c r="I10" s="518" t="s">
        <v>80</v>
      </c>
      <c r="J10" s="518" t="s">
        <v>80</v>
      </c>
      <c r="K10" s="518" t="s">
        <v>80</v>
      </c>
      <c r="L10" s="518">
        <f>Jēk_IV!I49</f>
        <v>1724.25</v>
      </c>
      <c r="M10" s="518">
        <f>Jēk_IV!I29</f>
        <v>1489.99</v>
      </c>
      <c r="N10" s="518">
        <f>Jēk_IV!I27</f>
        <v>1464.1</v>
      </c>
      <c r="O10" s="518">
        <f>Jēk_IV!I35+Jēk_IV!I40</f>
        <v>23094.06</v>
      </c>
      <c r="P10" s="518">
        <f>Jēk_IV!I31</f>
        <v>2783</v>
      </c>
      <c r="Q10" s="518">
        <f>Jēk_IV!I44</f>
        <v>10527</v>
      </c>
      <c r="R10" s="518" t="s">
        <v>80</v>
      </c>
      <c r="S10" s="517">
        <f t="shared" si="1"/>
        <v>1479713</v>
      </c>
      <c r="T10" s="517">
        <f t="shared" si="2"/>
        <v>36404</v>
      </c>
      <c r="U10" s="517"/>
    </row>
    <row r="11" spans="1:21" s="530" customFormat="1" x14ac:dyDescent="0.3">
      <c r="A11" s="515" t="s">
        <v>59</v>
      </c>
      <c r="B11" s="516" t="s">
        <v>76</v>
      </c>
      <c r="C11" s="516" t="s">
        <v>111</v>
      </c>
      <c r="D11" s="517">
        <v>111636</v>
      </c>
      <c r="E11" s="517">
        <v>3701</v>
      </c>
      <c r="F11" s="517">
        <v>0</v>
      </c>
      <c r="G11" s="517">
        <f>ROUNDUP(SUM(Kopsavilkums!K11:R11),0)</f>
        <v>109453</v>
      </c>
      <c r="H11" s="518" t="s">
        <v>80</v>
      </c>
      <c r="I11" s="518">
        <f>Liepa_IV!I17</f>
        <v>3568.29</v>
      </c>
      <c r="J11" s="518">
        <f>Liepa_IV!I10</f>
        <v>1597.2</v>
      </c>
      <c r="K11" s="518" t="s">
        <v>80</v>
      </c>
      <c r="L11" s="518" t="s">
        <v>80</v>
      </c>
      <c r="M11" s="518">
        <f>Liepa_IV!I13</f>
        <v>2904</v>
      </c>
      <c r="N11" s="518">
        <f>Liepa_IV!I14+Liepa_IV!I15+Liepa_IV!I16</f>
        <v>906.29000000000008</v>
      </c>
      <c r="O11" s="518">
        <f>Liepa_IV!I11</f>
        <v>3146</v>
      </c>
      <c r="P11" s="518">
        <f>Liepa_IV!I9+Liepa_IV!I18</f>
        <v>102496.68</v>
      </c>
      <c r="Q11" s="518" t="s">
        <v>80</v>
      </c>
      <c r="R11" s="518" t="s">
        <v>80</v>
      </c>
      <c r="S11" s="517">
        <f t="shared" si="1"/>
        <v>2183</v>
      </c>
      <c r="T11" s="517">
        <f t="shared" si="2"/>
        <v>105752</v>
      </c>
      <c r="U11" s="517">
        <f t="shared" ref="U11" si="3">I11+J11</f>
        <v>5165.49</v>
      </c>
    </row>
    <row r="12" spans="1:21" x14ac:dyDescent="0.3">
      <c r="A12" s="515" t="s">
        <v>60</v>
      </c>
      <c r="B12" s="516" t="s">
        <v>76</v>
      </c>
      <c r="C12" s="516" t="s">
        <v>112</v>
      </c>
      <c r="D12" s="517">
        <v>1443383</v>
      </c>
      <c r="E12" s="517">
        <v>0</v>
      </c>
      <c r="F12" s="517">
        <v>0</v>
      </c>
      <c r="G12" s="517">
        <f>ROUNDUP(SUM(Kopsavilkums!K12:R12),0)</f>
        <v>60457</v>
      </c>
      <c r="H12" s="518" t="s">
        <v>80</v>
      </c>
      <c r="I12" s="518" t="s">
        <v>80</v>
      </c>
      <c r="J12" s="518" t="s">
        <v>80</v>
      </c>
      <c r="K12" s="518" t="s">
        <v>80</v>
      </c>
      <c r="L12" s="518" t="s">
        <v>80</v>
      </c>
      <c r="M12" s="518" t="s">
        <v>80</v>
      </c>
      <c r="N12" s="518" t="s">
        <v>80</v>
      </c>
      <c r="O12" s="518" t="s">
        <v>80</v>
      </c>
      <c r="P12" s="518">
        <f>Rez_V!I24</f>
        <v>18549.16</v>
      </c>
      <c r="Q12" s="518">
        <f>Rez_V!I19+Rez_V!I25</f>
        <v>41907.35</v>
      </c>
      <c r="R12" s="518" t="s">
        <v>80</v>
      </c>
      <c r="S12" s="517">
        <f t="shared" si="1"/>
        <v>1382926</v>
      </c>
      <c r="T12" s="517">
        <f t="shared" si="2"/>
        <v>60457</v>
      </c>
      <c r="U12" s="517"/>
    </row>
    <row r="13" spans="1:21" s="530" customFormat="1" x14ac:dyDescent="0.3">
      <c r="A13" s="515" t="s">
        <v>61</v>
      </c>
      <c r="B13" s="516" t="s">
        <v>76</v>
      </c>
      <c r="C13" s="516" t="s">
        <v>110</v>
      </c>
      <c r="D13" s="517">
        <v>1381747</v>
      </c>
      <c r="E13" s="517">
        <v>446963</v>
      </c>
      <c r="F13" s="517">
        <v>0</v>
      </c>
      <c r="G13" s="517">
        <f>ROUNDUP(SUM(Kopsavilkums!K13:R13),0)</f>
        <v>1294272</v>
      </c>
      <c r="H13" s="518" t="s">
        <v>80</v>
      </c>
      <c r="I13" s="518" t="s">
        <v>80</v>
      </c>
      <c r="J13" s="518" t="s">
        <v>80</v>
      </c>
      <c r="K13" s="518" t="s">
        <v>80</v>
      </c>
      <c r="L13" s="518">
        <f>Ziemeļk_IV!K23+Ziemeļk_IV!K24+Ziemeļk_IV!K26+Ziemeļk_IV!K30+Ziemeļk_IV!K33+Ziemeļk_IV!K34</f>
        <v>29174.309999999998</v>
      </c>
      <c r="M13" s="518">
        <f>Ziemeļk_IV!K10+Ziemeļk_IV!K12+Ziemeļk_IV!K13+Ziemeļk_IV!K14+Ziemeļk_IV!K15+Ziemeļk_IV!K17+Ziemeļk_IV!K18+Ziemeļk_IV!K19+Ziemeļk_IV!K25+Ziemeļk_IV!K29+Ziemeļk_IV!K36+Ziemeļk_IV!K40+Ziemeļk_IV!K42+Ziemeļk_IV!K45+Ziemeļk_IV!K52+Ziemeļk_IV!K55+Ziemeļk_IV!K57+Ziemeļk_IV!K58</f>
        <v>284888.24399999995</v>
      </c>
      <c r="N13" s="518">
        <f>Ziemeļk_IV!K11+Ziemeļk_IV!K16+Ziemeļk_IV!K20+Ziemeļk_IV!K28+Ziemeļk_IV!K41+Ziemeļk_IV!K46+Ziemeļk_IV!K48+Ziemeļk_IV!K49+Ziemeļk_IV!K50+Ziemeļk_IV!K54+Ziemeļk_IV!K56+Ziemeļk_IV!K63+Ziemeļk_IV!K64</f>
        <v>342134.76999999996</v>
      </c>
      <c r="O13" s="518">
        <f>Ziemeļk_IV!K27+Ziemeļk_IV!K31+Ziemeļk_IV!K32+Ziemeļk_IV!K35+Ziemeļk_IV!K37+Ziemeļk_IV!K38+Ziemeļk_IV!K43+Ziemeļk_IV!K44+Ziemeļk_IV!K53+Ziemeļk_IV!K59+Ziemeļk_IV!K60+Ziemeļk_IV!K61</f>
        <v>470235.14999999997</v>
      </c>
      <c r="P13" s="518">
        <f>Ziemeļk_IV!K39+Ziemeļk_IV!K51</f>
        <v>167838.62</v>
      </c>
      <c r="Q13" s="518" t="s">
        <v>80</v>
      </c>
      <c r="R13" s="518" t="s">
        <v>80</v>
      </c>
      <c r="S13" s="517">
        <f t="shared" si="1"/>
        <v>87475</v>
      </c>
      <c r="T13" s="517">
        <f>G13-E13-F13</f>
        <v>847309</v>
      </c>
      <c r="U13" s="517"/>
    </row>
    <row r="14" spans="1:21" x14ac:dyDescent="0.3">
      <c r="A14" s="515" t="s">
        <v>62</v>
      </c>
      <c r="B14" s="516" t="s">
        <v>76</v>
      </c>
      <c r="C14" s="516" t="s">
        <v>109</v>
      </c>
      <c r="D14" s="517">
        <v>6015</v>
      </c>
      <c r="E14" s="517">
        <v>6014</v>
      </c>
      <c r="F14" s="517">
        <v>0</v>
      </c>
      <c r="G14" s="517">
        <f>ROUNDUP(SUM(Kopsavilkums!K14:R14),0)</f>
        <v>6014</v>
      </c>
      <c r="H14" s="518" t="s">
        <v>80</v>
      </c>
      <c r="I14" s="518" t="s">
        <v>80</v>
      </c>
      <c r="J14" s="518" t="s">
        <v>80</v>
      </c>
      <c r="K14" s="518" t="s">
        <v>80</v>
      </c>
      <c r="L14" s="518" t="s">
        <v>80</v>
      </c>
      <c r="M14" s="518">
        <v>6013.7</v>
      </c>
      <c r="N14" s="518" t="s">
        <v>80</v>
      </c>
      <c r="O14" s="518" t="s">
        <v>80</v>
      </c>
      <c r="P14" s="518" t="s">
        <v>80</v>
      </c>
      <c r="Q14" s="518" t="s">
        <v>80</v>
      </c>
      <c r="R14" s="518" t="s">
        <v>80</v>
      </c>
      <c r="S14" s="517">
        <f t="shared" si="1"/>
        <v>1</v>
      </c>
      <c r="T14" s="517">
        <f t="shared" si="2"/>
        <v>0</v>
      </c>
      <c r="U14" s="517"/>
    </row>
    <row r="15" spans="1:21" x14ac:dyDescent="0.3">
      <c r="A15" s="515" t="s">
        <v>63</v>
      </c>
      <c r="B15" s="516" t="s">
        <v>129</v>
      </c>
      <c r="C15" s="516" t="s">
        <v>130</v>
      </c>
      <c r="D15" s="517">
        <v>166502</v>
      </c>
      <c r="E15" s="517">
        <v>117812</v>
      </c>
      <c r="F15" s="517">
        <v>0</v>
      </c>
      <c r="G15" s="517">
        <f>ROUNDUP(SUM(Kopsavilkums!K15:R15),0)</f>
        <v>117812</v>
      </c>
      <c r="H15" s="518" t="s">
        <v>80</v>
      </c>
      <c r="I15" s="518" t="s">
        <v>80</v>
      </c>
      <c r="J15" s="518" t="s">
        <v>80</v>
      </c>
      <c r="K15" s="518" t="s">
        <v>80</v>
      </c>
      <c r="L15" s="518">
        <f>Jūrm_IV!I11+Jūrm_IV!I16+Jūrm_IV!I17+Jūrm_IV!I18</f>
        <v>20463.52</v>
      </c>
      <c r="M15" s="518">
        <f>Jūrm_IV!I14+Jūrm_IV!I15</f>
        <v>46220.79</v>
      </c>
      <c r="N15" s="518">
        <f>Jūrm_IV!I9+Jūrm_IV!I10+Jūrm_IV!I12+Jūrm_IV!I19</f>
        <v>51127.54</v>
      </c>
      <c r="O15" s="518" t="s">
        <v>80</v>
      </c>
      <c r="P15" s="518" t="s">
        <v>80</v>
      </c>
      <c r="Q15" s="518" t="s">
        <v>80</v>
      </c>
      <c r="R15" s="518" t="s">
        <v>80</v>
      </c>
      <c r="S15" s="517">
        <f t="shared" si="1"/>
        <v>48690</v>
      </c>
      <c r="T15" s="517">
        <f t="shared" si="2"/>
        <v>0</v>
      </c>
      <c r="U15" s="517"/>
    </row>
    <row r="16" spans="1:21" x14ac:dyDescent="0.3">
      <c r="A16" s="515" t="s">
        <v>64</v>
      </c>
      <c r="B16" s="516" t="s">
        <v>122</v>
      </c>
      <c r="C16" s="516" t="s">
        <v>121</v>
      </c>
      <c r="D16" s="517">
        <v>540058</v>
      </c>
      <c r="E16" s="517">
        <v>304318</v>
      </c>
      <c r="F16" s="517">
        <v>0</v>
      </c>
      <c r="G16" s="517">
        <f>ROUNDUP(SUM(Kopsavilkums!K16:R16),0)</f>
        <v>347091</v>
      </c>
      <c r="H16" s="518" t="s">
        <v>80</v>
      </c>
      <c r="I16" s="518" t="s">
        <v>80</v>
      </c>
      <c r="J16" s="518" t="s">
        <v>80</v>
      </c>
      <c r="K16" s="518" t="s">
        <v>80</v>
      </c>
      <c r="L16" s="518">
        <f>Tuk_IV!I8</f>
        <v>33880</v>
      </c>
      <c r="M16" s="518">
        <f>Tuk_IV!I10+Tuk_IV!I13+Tuk_IV!I14+Tuk_IV!I16+Tuk_IV!I21+Tuk_IV!I22+Tuk_IV!I26+Tuk_IV!I27+Tuk_IV!I28+Tuk_IV!I30+Tuk_IV!I39</f>
        <v>156106.77000000002</v>
      </c>
      <c r="N16" s="518">
        <f>Tuk_IV!I11+Tuk_IV!I12+Tuk_IV!I15+Tuk_IV!I17+Tuk_IV!I18+Tuk_IV!I19+Tuk_IV!I24+Tuk_IV!I25+Tuk_IV!I29+Tuk_IV!I31+Tuk_IV!I34+Tuk_IV!I35+Tuk_IV!I38+Tuk_IV!I43+Tuk_IV!I44</f>
        <v>86914.3</v>
      </c>
      <c r="O16" s="518">
        <f>Tuk_IV!I9+Tuk_IV!I32+Tuk_IV!I41</f>
        <v>24075.440000000002</v>
      </c>
      <c r="P16" s="518">
        <f>Tuk_IV!I23+Tuk_IV!I33+Tuk_IV!I40</f>
        <v>44770</v>
      </c>
      <c r="Q16" s="518" t="s">
        <v>80</v>
      </c>
      <c r="R16" s="518">
        <f>Tuk_IV!I20</f>
        <v>1344.07</v>
      </c>
      <c r="S16" s="517">
        <f t="shared" si="1"/>
        <v>192967</v>
      </c>
      <c r="T16" s="517">
        <f>G16-E16-F16</f>
        <v>42773</v>
      </c>
      <c r="U16" s="517"/>
    </row>
    <row r="17" spans="1:23" x14ac:dyDescent="0.3">
      <c r="A17" s="515" t="s">
        <v>65</v>
      </c>
      <c r="B17" s="516" t="s">
        <v>74</v>
      </c>
      <c r="C17" s="516" t="s">
        <v>75</v>
      </c>
      <c r="D17" s="517">
        <v>442980</v>
      </c>
      <c r="E17" s="517">
        <v>51621</v>
      </c>
      <c r="F17" s="517">
        <v>0</v>
      </c>
      <c r="G17" s="517">
        <f>ROUNDUP(SUM(Kopsavilkums!K17:R17),0)</f>
        <v>277770</v>
      </c>
      <c r="H17" s="529">
        <f>'R.1.sl_V'!J10</f>
        <v>21.66</v>
      </c>
      <c r="I17" s="518">
        <f>'R.1.sl_V'!J11+'R.1.sl_V'!J40+'R.1.sl_V'!J42+'R.1.sl_V'!J44+'R.1.sl_V'!J45+'R.1.sl_V'!J64+'R.1.sl_V'!J77</f>
        <v>5084.25</v>
      </c>
      <c r="J17" s="518">
        <f>'R.1.sl_V'!J12+'R.1.sl_V'!J31+'R.1.sl_V'!J34+'R.1.sl_V'!J65</f>
        <v>1520.3100000000002</v>
      </c>
      <c r="K17" s="518">
        <f>'R.1.sl_V'!J18+'R.1.sl_V'!J22+'R.1.sl_V'!J23+'R.1.sl_V'!J27+'R.1.sl_V'!J28+'R.1.sl_V'!J33</f>
        <v>10958.009999999998</v>
      </c>
      <c r="L17" s="518">
        <f>'R.1.sl_V'!J25+'R.1.sl_V'!J32+'R.1.sl_V'!J37+'R.1.sl_V'!J43</f>
        <v>1042.51</v>
      </c>
      <c r="M17" s="518">
        <f>'R.1.sl_V'!J21+'R.1.sl_V'!J24+'R.1.sl_V'!J39</f>
        <v>5798.75</v>
      </c>
      <c r="N17" s="518">
        <f>'R.1.sl_V'!J41+'R.1.sl_V'!J49+'R.1.sl_V'!J50+'R.1.sl_V'!J58+'R.1.sl_V'!J59+'R.1.sl_V'!J68+'R.1.sl_V'!J69+'R.1.sl_V'!J70+'R.1.sl_V'!J71+'R.1.sl_V'!J75</f>
        <v>33820.75</v>
      </c>
      <c r="O17" s="518">
        <f>'R.1.sl_V'!J46+'R.1.sl_V'!J48+'R.1.sl_V'!J56+'R.1.sl_V'!J57+'R.1.sl_V'!J72</f>
        <v>45646.15</v>
      </c>
      <c r="P17" s="518">
        <f>'R.1.sl_V'!J47+'R.1.sl_V'!J51+'R.1.sl_V'!J52+'R.1.sl_V'!J53+'R.1.sl_V'!J54+'R.1.sl_V'!J73+'R.1.sl_V'!J74</f>
        <v>171185.96</v>
      </c>
      <c r="Q17" s="518">
        <f>'R.1.sl_V'!J55</f>
        <v>9317</v>
      </c>
      <c r="R17" s="518" t="s">
        <v>80</v>
      </c>
      <c r="S17" s="517">
        <f t="shared" si="1"/>
        <v>165210</v>
      </c>
      <c r="T17" s="517">
        <f>G17-E17-F17</f>
        <v>226149</v>
      </c>
      <c r="U17" s="517">
        <f>H17+I17+J17</f>
        <v>6626.22</v>
      </c>
      <c r="W17" s="215"/>
    </row>
    <row r="18" spans="1:23" x14ac:dyDescent="0.3">
      <c r="A18" s="515" t="s">
        <v>66</v>
      </c>
      <c r="B18" s="516" t="s">
        <v>72</v>
      </c>
      <c r="C18" s="516" t="s">
        <v>73</v>
      </c>
      <c r="D18" s="517">
        <v>328381</v>
      </c>
      <c r="E18" s="517">
        <v>317425</v>
      </c>
      <c r="F18" s="517">
        <v>0</v>
      </c>
      <c r="G18" s="517">
        <f>ROUNDUP(SUM(Kopsavilkums!K18:R18),0)</f>
        <v>317425</v>
      </c>
      <c r="H18" s="518" t="s">
        <v>80</v>
      </c>
      <c r="I18" s="518" t="s">
        <v>80</v>
      </c>
      <c r="J18" s="518" t="s">
        <v>80</v>
      </c>
      <c r="K18" s="518" t="s">
        <v>80</v>
      </c>
      <c r="L18" s="518">
        <f>Balv_V!I12+Balv_V!I14+Balv_V!I18+Balv_V!I19+Balv_V!I24+Balv_V!I26+Balv_V!I27+Balv_V!I29+Balv_V!I31+Balv_V!I37</f>
        <v>161819.69</v>
      </c>
      <c r="M18" s="518">
        <f>Balv_V!I10+Balv_V!I15+Balv_V!I16+Balv_V!I17+Balv_V!I20+Balv_V!I21+Balv_V!I25+Balv_V!I28+Balv_V!I30+Balv_V!I32+Balv_V!I36</f>
        <v>142802.78</v>
      </c>
      <c r="N18" s="518">
        <f>Balv_V!I11+Balv_V!I22+Balv_V!I33+Balv_V!I34+Balv_V!I35</f>
        <v>12801.8</v>
      </c>
      <c r="O18" s="518" t="s">
        <v>80</v>
      </c>
      <c r="P18" s="518" t="s">
        <v>80</v>
      </c>
      <c r="Q18" s="518" t="s">
        <v>80</v>
      </c>
      <c r="R18" s="518" t="s">
        <v>80</v>
      </c>
      <c r="S18" s="517">
        <f t="shared" si="1"/>
        <v>10956</v>
      </c>
      <c r="T18" s="517">
        <f t="shared" si="2"/>
        <v>0</v>
      </c>
      <c r="U18" s="517"/>
      <c r="W18" s="217"/>
    </row>
    <row r="19" spans="1:23" x14ac:dyDescent="0.3">
      <c r="A19" s="515" t="s">
        <v>17</v>
      </c>
      <c r="B19" s="516" t="s">
        <v>72</v>
      </c>
      <c r="C19" s="516" t="s">
        <v>78</v>
      </c>
      <c r="D19" s="517">
        <v>506376</v>
      </c>
      <c r="E19" s="517">
        <v>70378</v>
      </c>
      <c r="F19" s="517">
        <v>0</v>
      </c>
      <c r="G19" s="517">
        <f>ROUNDUP(SUM(Kopsavilkums!K19:R19),0)</f>
        <v>169703</v>
      </c>
      <c r="H19" s="518" t="s">
        <v>80</v>
      </c>
      <c r="I19" s="518" t="s">
        <v>80</v>
      </c>
      <c r="J19" s="518">
        <f>Alūksn_V!I37</f>
        <v>1332.63</v>
      </c>
      <c r="K19" s="518" t="s">
        <v>80</v>
      </c>
      <c r="L19" s="518" t="s">
        <v>80</v>
      </c>
      <c r="M19" s="518" t="s">
        <v>80</v>
      </c>
      <c r="N19" s="518">
        <f>Alūksn_V!I18</f>
        <v>5789.85</v>
      </c>
      <c r="O19" s="518">
        <f>Alūksn_V!I14+Alūksn_V!I29+Alūksn_V!I31+Alūksn_V!I33+Alūksn_V!I36</f>
        <v>70534.649999999994</v>
      </c>
      <c r="P19" s="518">
        <f>Alūksn_V!I10+Alūksn_V!I11+Alūksn_V!I35</f>
        <v>42073.64</v>
      </c>
      <c r="Q19" s="518">
        <f>Alūksn_V!I19+Alūksn_V!I24</f>
        <v>51304</v>
      </c>
      <c r="R19" s="518" t="s">
        <v>80</v>
      </c>
      <c r="S19" s="517">
        <f t="shared" si="1"/>
        <v>336673</v>
      </c>
      <c r="T19" s="517">
        <f t="shared" si="2"/>
        <v>99325</v>
      </c>
      <c r="U19" s="517">
        <v>1332.63</v>
      </c>
      <c r="W19" s="215"/>
    </row>
    <row r="20" spans="1:23" x14ac:dyDescent="0.3">
      <c r="A20" s="515" t="s">
        <v>55</v>
      </c>
      <c r="B20" s="516"/>
      <c r="C20" s="516"/>
      <c r="D20" s="517">
        <v>355106</v>
      </c>
      <c r="E20" s="517">
        <v>91971</v>
      </c>
      <c r="F20" s="517">
        <v>0</v>
      </c>
      <c r="G20" s="517">
        <f>ROUNDUP(SUM(Kopsavilkums!K20:R20),0)</f>
        <v>196464</v>
      </c>
      <c r="H20" s="518" t="s">
        <v>80</v>
      </c>
      <c r="I20" s="518" t="s">
        <v>80</v>
      </c>
      <c r="J20" s="518" t="s">
        <v>80</v>
      </c>
      <c r="K20" s="518" t="s">
        <v>80</v>
      </c>
      <c r="L20" s="518" t="s">
        <v>80</v>
      </c>
      <c r="M20" s="518">
        <f>Cēsis_V!I15+Cēsis_V!I21+Cēsis_V!I27+Cēsis_V!I28+Cēsis_V!I33+Cēsis_V!I36</f>
        <v>41680.870000000003</v>
      </c>
      <c r="N20" s="518">
        <f>Cēsis_V!I11+Cēsis_V!I12+Cēsis_V!I16+Cēsis_V!I26+Cēsis_V!I30+Cēsis_V!I34</f>
        <v>51258.02</v>
      </c>
      <c r="O20" s="518">
        <f>Cēsis_V!I9+Cēsis_V!I10+Cēsis_V!I13+Cēsis_V!I14+Cēsis_V!I17+Cēsis_V!L18+Cēsis_V!I19+Cēsis_V!I20+Cēsis_V!I22+Cēsis_V!I24+Cēsis_V!I25+Cēsis_V!I29+Cēsis_V!I31+Cēsis_V!I37</f>
        <v>100707.73</v>
      </c>
      <c r="P20" s="518">
        <f>Cēsis_V!L32+Cēsis_V!L35</f>
        <v>2816.88</v>
      </c>
      <c r="Q20" s="518" t="s">
        <v>80</v>
      </c>
      <c r="R20" s="518" t="s">
        <v>80</v>
      </c>
      <c r="S20" s="517">
        <f t="shared" si="1"/>
        <v>158642</v>
      </c>
      <c r="T20" s="517">
        <f t="shared" si="2"/>
        <v>104493</v>
      </c>
      <c r="U20" s="517"/>
      <c r="W20" s="215"/>
    </row>
    <row r="21" spans="1:23" x14ac:dyDescent="0.3">
      <c r="A21" s="515" t="s">
        <v>67</v>
      </c>
      <c r="B21" s="516" t="s">
        <v>72</v>
      </c>
      <c r="C21" s="516" t="s">
        <v>116</v>
      </c>
      <c r="D21" s="517">
        <v>2406</v>
      </c>
      <c r="E21" s="517">
        <v>2406</v>
      </c>
      <c r="F21" s="517">
        <v>0</v>
      </c>
      <c r="G21" s="517">
        <f>ROUNDUP(SUM(Kopsavilkums!K21:R21),0)</f>
        <v>2406</v>
      </c>
      <c r="H21" s="518" t="s">
        <v>80</v>
      </c>
      <c r="I21" s="518" t="s">
        <v>80</v>
      </c>
      <c r="J21" s="518" t="s">
        <v>80</v>
      </c>
      <c r="K21" s="518" t="s">
        <v>80</v>
      </c>
      <c r="L21" s="518" t="s">
        <v>80</v>
      </c>
      <c r="M21" s="518">
        <f>Kuldīg_V!I9</f>
        <v>2405.48</v>
      </c>
      <c r="N21" s="518" t="s">
        <v>80</v>
      </c>
      <c r="O21" s="518" t="s">
        <v>80</v>
      </c>
      <c r="P21" s="518" t="s">
        <v>80</v>
      </c>
      <c r="Q21" s="518" t="s">
        <v>80</v>
      </c>
      <c r="R21" s="518" t="s">
        <v>80</v>
      </c>
      <c r="S21" s="517">
        <f t="shared" si="1"/>
        <v>0</v>
      </c>
      <c r="T21" s="517">
        <f t="shared" si="2"/>
        <v>0</v>
      </c>
      <c r="U21" s="517"/>
    </row>
    <row r="22" spans="1:23" x14ac:dyDescent="0.3">
      <c r="A22" s="515" t="s">
        <v>68</v>
      </c>
      <c r="B22" s="516"/>
      <c r="C22" s="516"/>
      <c r="D22" s="517">
        <v>188362</v>
      </c>
      <c r="E22" s="517">
        <v>0</v>
      </c>
      <c r="F22" s="517">
        <v>0</v>
      </c>
      <c r="G22" s="517">
        <f>ROUNDUP(SUM(Kopsavilkums!K22:R22),0)</f>
        <v>0</v>
      </c>
      <c r="H22" s="518" t="s">
        <v>80</v>
      </c>
      <c r="I22" s="518" t="s">
        <v>80</v>
      </c>
      <c r="J22" s="518" t="s">
        <v>80</v>
      </c>
      <c r="K22" s="518" t="s">
        <v>80</v>
      </c>
      <c r="L22" s="518" t="s">
        <v>80</v>
      </c>
      <c r="M22" s="518" t="s">
        <v>80</v>
      </c>
      <c r="N22" s="518" t="s">
        <v>80</v>
      </c>
      <c r="O22" s="518" t="s">
        <v>80</v>
      </c>
      <c r="P22" s="518" t="s">
        <v>80</v>
      </c>
      <c r="Q22" s="518" t="s">
        <v>80</v>
      </c>
      <c r="R22" s="518" t="s">
        <v>80</v>
      </c>
      <c r="S22" s="517">
        <f t="shared" si="1"/>
        <v>188362</v>
      </c>
      <c r="T22" s="517">
        <f t="shared" si="2"/>
        <v>0</v>
      </c>
      <c r="U22" s="517"/>
    </row>
    <row r="23" spans="1:23" x14ac:dyDescent="0.3">
      <c r="A23" s="515" t="s">
        <v>69</v>
      </c>
      <c r="B23" s="516" t="s">
        <v>120</v>
      </c>
      <c r="C23" s="516" t="s">
        <v>119</v>
      </c>
      <c r="D23" s="517">
        <v>505072</v>
      </c>
      <c r="E23" s="517">
        <v>0</v>
      </c>
      <c r="F23" s="517">
        <v>0</v>
      </c>
      <c r="G23" s="517">
        <f>ROUNDUP(SUM(Kopsavilkums!K23:R23),0)</f>
        <v>0</v>
      </c>
      <c r="H23" s="518" t="s">
        <v>80</v>
      </c>
      <c r="I23" s="518" t="s">
        <v>80</v>
      </c>
      <c r="J23" s="518" t="s">
        <v>80</v>
      </c>
      <c r="K23" s="518" t="s">
        <v>80</v>
      </c>
      <c r="L23" s="518" t="s">
        <v>80</v>
      </c>
      <c r="M23" s="518" t="s">
        <v>80</v>
      </c>
      <c r="N23" s="518" t="s">
        <v>80</v>
      </c>
      <c r="O23" s="518" t="s">
        <v>80</v>
      </c>
      <c r="P23" s="518" t="s">
        <v>80</v>
      </c>
      <c r="Q23" s="518" t="s">
        <v>80</v>
      </c>
      <c r="R23" s="518" t="s">
        <v>80</v>
      </c>
      <c r="S23" s="517">
        <f t="shared" si="1"/>
        <v>505072</v>
      </c>
      <c r="T23" s="517">
        <f t="shared" si="2"/>
        <v>0</v>
      </c>
      <c r="U23" s="517"/>
    </row>
    <row r="24" spans="1:23" x14ac:dyDescent="0.3">
      <c r="A24" s="515" t="s">
        <v>70</v>
      </c>
      <c r="B24" s="516" t="s">
        <v>72</v>
      </c>
      <c r="C24" s="516" t="s">
        <v>115</v>
      </c>
      <c r="D24" s="517">
        <v>264286</v>
      </c>
      <c r="E24" s="517">
        <v>139622</v>
      </c>
      <c r="F24" s="517">
        <v>0</v>
      </c>
      <c r="G24" s="517">
        <f>ROUNDUP(SUM(Kopsavilkums!K24:R24),0)</f>
        <v>222208</v>
      </c>
      <c r="H24" s="518" t="s">
        <v>80</v>
      </c>
      <c r="I24" s="518" t="s">
        <v>80</v>
      </c>
      <c r="J24" s="518" t="s">
        <v>80</v>
      </c>
      <c r="K24" s="518" t="s">
        <v>80</v>
      </c>
      <c r="L24" s="518" t="s">
        <v>80</v>
      </c>
      <c r="M24" s="518">
        <f>Krāsl_V!I9+Krāsl_V!I10+Krāsl_V!I14+Krāsl_V!I15</f>
        <v>88317.9</v>
      </c>
      <c r="N24" s="518">
        <f>Krāsl_V!I17+Krāsl_V!I23+Krāsl_V!I30</f>
        <v>51304</v>
      </c>
      <c r="O24" s="518">
        <f>Krāsl_V!I18+Krāsl_V!I19+Krāsl_V!I21+Krāsl_V!I22+Krāsl_V!I26+Krāsl_V!I27</f>
        <v>75821.900000000009</v>
      </c>
      <c r="P24" s="518">
        <f>Krāsl_V!I25+Krāsl_V!I28</f>
        <v>2444.1999999999998</v>
      </c>
      <c r="Q24" s="518" t="s">
        <v>80</v>
      </c>
      <c r="R24" s="518">
        <f>Krāsl_V!I29</f>
        <v>4319.7</v>
      </c>
      <c r="S24" s="517">
        <f t="shared" si="1"/>
        <v>42078</v>
      </c>
      <c r="T24" s="517">
        <f t="shared" si="2"/>
        <v>82586</v>
      </c>
      <c r="U24" s="517"/>
    </row>
    <row r="25" spans="1:23" x14ac:dyDescent="0.3">
      <c r="A25" s="515" t="s">
        <v>71</v>
      </c>
      <c r="B25" s="516" t="s">
        <v>72</v>
      </c>
      <c r="C25" s="516" t="s">
        <v>114</v>
      </c>
      <c r="D25" s="517">
        <v>346239</v>
      </c>
      <c r="E25" s="517">
        <v>0</v>
      </c>
      <c r="F25" s="517">
        <v>0</v>
      </c>
      <c r="G25" s="517">
        <f>ROUNDUP(SUM(Kopsavilkums!K25:R25),0)</f>
        <v>0</v>
      </c>
      <c r="H25" s="518" t="s">
        <v>80</v>
      </c>
      <c r="I25" s="518" t="s">
        <v>80</v>
      </c>
      <c r="J25" s="518" t="s">
        <v>80</v>
      </c>
      <c r="K25" s="518" t="s">
        <v>80</v>
      </c>
      <c r="L25" s="518" t="s">
        <v>80</v>
      </c>
      <c r="M25" s="518">
        <v>0</v>
      </c>
      <c r="N25" s="518" t="s">
        <v>80</v>
      </c>
      <c r="O25" s="518" t="s">
        <v>80</v>
      </c>
      <c r="P25" s="518" t="s">
        <v>80</v>
      </c>
      <c r="Q25" s="518" t="s">
        <v>80</v>
      </c>
      <c r="R25" s="518" t="s">
        <v>80</v>
      </c>
      <c r="S25" s="517">
        <f t="shared" si="1"/>
        <v>346239</v>
      </c>
      <c r="T25" s="517">
        <f t="shared" si="2"/>
        <v>0</v>
      </c>
      <c r="U25" s="517"/>
    </row>
    <row r="26" spans="1:23" ht="42" x14ac:dyDescent="0.3">
      <c r="A26" s="566" t="s">
        <v>653</v>
      </c>
      <c r="B26" s="516"/>
      <c r="C26" s="517"/>
      <c r="D26" s="517">
        <v>3474533</v>
      </c>
      <c r="E26" s="517">
        <v>347454</v>
      </c>
      <c r="F26" s="517">
        <f>M26+N26+O26+P26+Q26</f>
        <v>1737266</v>
      </c>
      <c r="G26" s="517">
        <f>ROUNDUP(SUM(Kopsavilkums!K26:R26),0)</f>
        <v>2084720</v>
      </c>
      <c r="H26" s="518" t="s">
        <v>80</v>
      </c>
      <c r="I26" s="518" t="s">
        <v>80</v>
      </c>
      <c r="J26" s="518" t="s">
        <v>80</v>
      </c>
      <c r="K26" s="518" t="s">
        <v>80</v>
      </c>
      <c r="L26" s="518">
        <f>Observacija!B29</f>
        <v>347453.2</v>
      </c>
      <c r="M26" s="518">
        <v>347453.2</v>
      </c>
      <c r="N26" s="518">
        <v>347453.2</v>
      </c>
      <c r="O26" s="518">
        <v>347453.2</v>
      </c>
      <c r="P26" s="518">
        <v>347453.2</v>
      </c>
      <c r="Q26" s="518">
        <v>347453.2</v>
      </c>
      <c r="R26" s="518" t="s">
        <v>80</v>
      </c>
      <c r="S26" s="517">
        <f t="shared" si="1"/>
        <v>1389813</v>
      </c>
      <c r="T26" s="517">
        <f t="shared" si="2"/>
        <v>0</v>
      </c>
      <c r="U26" s="517"/>
      <c r="V26" s="215"/>
    </row>
    <row r="27" spans="1:23" ht="42" x14ac:dyDescent="0.3">
      <c r="A27" s="567" t="s">
        <v>654</v>
      </c>
      <c r="B27" s="527"/>
      <c r="C27" s="440"/>
      <c r="D27" s="440">
        <v>24384220</v>
      </c>
      <c r="E27" s="440">
        <v>6297964</v>
      </c>
      <c r="F27" s="440">
        <f>ROUNDUP(O27+P27+Q27,0)</f>
        <v>7097661</v>
      </c>
      <c r="G27" s="440">
        <f>ROUNDUP(SUM(Kopsavilkums!K27:R27),0)</f>
        <v>13395624</v>
      </c>
      <c r="H27" s="439" t="s">
        <v>80</v>
      </c>
      <c r="I27" s="439" t="s">
        <v>80</v>
      </c>
      <c r="J27" s="439" t="s">
        <v>80</v>
      </c>
      <c r="K27" s="518" t="s">
        <v>80</v>
      </c>
      <c r="L27" s="528">
        <f>intensiva_terapija_3_5!D73</f>
        <v>1385756.6199999987</v>
      </c>
      <c r="M27" s="518">
        <f>intensiva_terapija_3_5!E73</f>
        <v>2341246.6500000004</v>
      </c>
      <c r="N27" s="518">
        <f>intensiva_terapija_3_5!F73</f>
        <v>2570959.7800000068</v>
      </c>
      <c r="O27" s="518">
        <f>'IT_kopsavilkums_6-8'!D74</f>
        <v>2486340.7799999937</v>
      </c>
      <c r="P27" s="518">
        <f>'IT_kopsavilkums_6-8'!E74</f>
        <v>2346956.1499999994</v>
      </c>
      <c r="Q27" s="518">
        <f>'IT_kopsavilkums_6-8'!F74</f>
        <v>2264363.1399999838</v>
      </c>
      <c r="R27" s="518" t="s">
        <v>80</v>
      </c>
      <c r="S27" s="517">
        <f t="shared" si="1"/>
        <v>10988596</v>
      </c>
      <c r="T27" s="440">
        <f>G27-E27-F27</f>
        <v>-1</v>
      </c>
      <c r="U27" s="440"/>
    </row>
    <row r="28" spans="1:23" ht="42" x14ac:dyDescent="0.3">
      <c r="A28" s="567" t="s">
        <v>655</v>
      </c>
      <c r="B28" s="527"/>
      <c r="C28" s="440"/>
      <c r="D28" s="440">
        <v>726000</v>
      </c>
      <c r="E28" s="440">
        <v>0</v>
      </c>
      <c r="F28" s="440">
        <v>0</v>
      </c>
      <c r="G28" s="440">
        <f>ROUNDUP(SUM(Kopsavilkums!K28:R28),0)</f>
        <v>0</v>
      </c>
      <c r="H28" s="439" t="s">
        <v>80</v>
      </c>
      <c r="I28" s="439" t="s">
        <v>80</v>
      </c>
      <c r="J28" s="439" t="s">
        <v>80</v>
      </c>
      <c r="K28" s="518" t="s">
        <v>80</v>
      </c>
      <c r="L28" s="528" t="s">
        <v>80</v>
      </c>
      <c r="M28" s="528" t="s">
        <v>80</v>
      </c>
      <c r="N28" s="528" t="s">
        <v>80</v>
      </c>
      <c r="O28" s="528" t="s">
        <v>80</v>
      </c>
      <c r="P28" s="528" t="s">
        <v>80</v>
      </c>
      <c r="Q28" s="528" t="s">
        <v>80</v>
      </c>
      <c r="R28" s="518" t="s">
        <v>80</v>
      </c>
      <c r="S28" s="517">
        <f t="shared" si="1"/>
        <v>726000</v>
      </c>
      <c r="T28" s="440">
        <f t="shared" si="2"/>
        <v>0</v>
      </c>
      <c r="U28" s="440"/>
    </row>
    <row r="29" spans="1:23" x14ac:dyDescent="0.3">
      <c r="M29" s="214"/>
    </row>
    <row r="43" spans="23:23" x14ac:dyDescent="0.3">
      <c r="W43" s="201"/>
    </row>
  </sheetData>
  <mergeCells count="7">
    <mergeCell ref="S1:T1"/>
    <mergeCell ref="A2:U2"/>
    <mergeCell ref="B3:D3"/>
    <mergeCell ref="E3:O3"/>
    <mergeCell ref="S3:S4"/>
    <mergeCell ref="U3:U4"/>
    <mergeCell ref="T3:T4"/>
  </mergeCells>
  <pageMargins left="0.7" right="0.7" top="0.75" bottom="0.75" header="0.3" footer="0.3"/>
  <pageSetup paperSize="9" scale="26" orientation="portrait" verticalDpi="90" r:id="rId1"/>
  <colBreaks count="1" manualBreakCount="1">
    <brk id="21" max="2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2695-991E-4E7E-AC02-D80C021B7FA6}">
  <sheetPr>
    <tabColor rgb="FF00B0F0"/>
  </sheetPr>
  <dimension ref="A1:M50"/>
  <sheetViews>
    <sheetView view="pageBreakPreview" topLeftCell="A13" zoomScale="60" zoomScaleNormal="80" workbookViewId="0">
      <selection activeCell="H23" sqref="H23"/>
    </sheetView>
  </sheetViews>
  <sheetFormatPr defaultRowHeight="14.5" x14ac:dyDescent="0.35"/>
  <cols>
    <col min="1" max="1" width="25.26953125" customWidth="1"/>
    <col min="2" max="2" width="43.81640625" customWidth="1"/>
    <col min="3" max="3" width="21.7265625" customWidth="1"/>
    <col min="5" max="5" width="16" customWidth="1"/>
    <col min="6" max="6" width="19.54296875" customWidth="1"/>
    <col min="7" max="7" width="13.81640625" customWidth="1"/>
    <col min="8" max="8" width="41" customWidth="1"/>
    <col min="9" max="9" width="14" customWidth="1"/>
    <col min="10" max="10" width="15.7265625" customWidth="1"/>
    <col min="11" max="11" width="14" customWidth="1"/>
    <col min="12" max="12" width="14.26953125" customWidth="1"/>
    <col min="13" max="13" width="35.453125" customWidth="1"/>
    <col min="259" max="259" width="18.453125" customWidth="1"/>
    <col min="260" max="260" width="43.81640625" customWidth="1"/>
    <col min="262" max="262" width="16" customWidth="1"/>
    <col min="263" max="263" width="19.54296875" customWidth="1"/>
    <col min="264" max="264" width="13.81640625" customWidth="1"/>
    <col min="265" max="265" width="41" customWidth="1"/>
    <col min="266" max="266" width="14" customWidth="1"/>
    <col min="268" max="268" width="14.26953125" customWidth="1"/>
    <col min="269" max="269" width="35.453125" customWidth="1"/>
    <col min="515" max="515" width="18.453125" customWidth="1"/>
    <col min="516" max="516" width="43.81640625" customWidth="1"/>
    <col min="518" max="518" width="16" customWidth="1"/>
    <col min="519" max="519" width="19.54296875" customWidth="1"/>
    <col min="520" max="520" width="13.81640625" customWidth="1"/>
    <col min="521" max="521" width="41" customWidth="1"/>
    <col min="522" max="522" width="14" customWidth="1"/>
    <col min="524" max="524" width="14.26953125" customWidth="1"/>
    <col min="525" max="525" width="35.453125" customWidth="1"/>
    <col min="771" max="771" width="18.453125" customWidth="1"/>
    <col min="772" max="772" width="43.81640625" customWidth="1"/>
    <col min="774" max="774" width="16" customWidth="1"/>
    <col min="775" max="775" width="19.54296875" customWidth="1"/>
    <col min="776" max="776" width="13.81640625" customWidth="1"/>
    <col min="777" max="777" width="41" customWidth="1"/>
    <col min="778" max="778" width="14" customWidth="1"/>
    <col min="780" max="780" width="14.26953125" customWidth="1"/>
    <col min="781" max="781" width="35.453125" customWidth="1"/>
    <col min="1027" max="1027" width="18.453125" customWidth="1"/>
    <col min="1028" max="1028" width="43.81640625" customWidth="1"/>
    <col min="1030" max="1030" width="16" customWidth="1"/>
    <col min="1031" max="1031" width="19.54296875" customWidth="1"/>
    <col min="1032" max="1032" width="13.81640625" customWidth="1"/>
    <col min="1033" max="1033" width="41" customWidth="1"/>
    <col min="1034" max="1034" width="14" customWidth="1"/>
    <col min="1036" max="1036" width="14.26953125" customWidth="1"/>
    <col min="1037" max="1037" width="35.453125" customWidth="1"/>
    <col min="1283" max="1283" width="18.453125" customWidth="1"/>
    <col min="1284" max="1284" width="43.81640625" customWidth="1"/>
    <col min="1286" max="1286" width="16" customWidth="1"/>
    <col min="1287" max="1287" width="19.54296875" customWidth="1"/>
    <col min="1288" max="1288" width="13.81640625" customWidth="1"/>
    <col min="1289" max="1289" width="41" customWidth="1"/>
    <col min="1290" max="1290" width="14" customWidth="1"/>
    <col min="1292" max="1292" width="14.26953125" customWidth="1"/>
    <col min="1293" max="1293" width="35.453125" customWidth="1"/>
    <col min="1539" max="1539" width="18.453125" customWidth="1"/>
    <col min="1540" max="1540" width="43.81640625" customWidth="1"/>
    <col min="1542" max="1542" width="16" customWidth="1"/>
    <col min="1543" max="1543" width="19.54296875" customWidth="1"/>
    <col min="1544" max="1544" width="13.81640625" customWidth="1"/>
    <col min="1545" max="1545" width="41" customWidth="1"/>
    <col min="1546" max="1546" width="14" customWidth="1"/>
    <col min="1548" max="1548" width="14.26953125" customWidth="1"/>
    <col min="1549" max="1549" width="35.453125" customWidth="1"/>
    <col min="1795" max="1795" width="18.453125" customWidth="1"/>
    <col min="1796" max="1796" width="43.81640625" customWidth="1"/>
    <col min="1798" max="1798" width="16" customWidth="1"/>
    <col min="1799" max="1799" width="19.54296875" customWidth="1"/>
    <col min="1800" max="1800" width="13.81640625" customWidth="1"/>
    <col min="1801" max="1801" width="41" customWidth="1"/>
    <col min="1802" max="1802" width="14" customWidth="1"/>
    <col min="1804" max="1804" width="14.26953125" customWidth="1"/>
    <col min="1805" max="1805" width="35.453125" customWidth="1"/>
    <col min="2051" max="2051" width="18.453125" customWidth="1"/>
    <col min="2052" max="2052" width="43.81640625" customWidth="1"/>
    <col min="2054" max="2054" width="16" customWidth="1"/>
    <col min="2055" max="2055" width="19.54296875" customWidth="1"/>
    <col min="2056" max="2056" width="13.81640625" customWidth="1"/>
    <col min="2057" max="2057" width="41" customWidth="1"/>
    <col min="2058" max="2058" width="14" customWidth="1"/>
    <col min="2060" max="2060" width="14.26953125" customWidth="1"/>
    <col min="2061" max="2061" width="35.453125" customWidth="1"/>
    <col min="2307" max="2307" width="18.453125" customWidth="1"/>
    <col min="2308" max="2308" width="43.81640625" customWidth="1"/>
    <col min="2310" max="2310" width="16" customWidth="1"/>
    <col min="2311" max="2311" width="19.54296875" customWidth="1"/>
    <col min="2312" max="2312" width="13.81640625" customWidth="1"/>
    <col min="2313" max="2313" width="41" customWidth="1"/>
    <col min="2314" max="2314" width="14" customWidth="1"/>
    <col min="2316" max="2316" width="14.26953125" customWidth="1"/>
    <col min="2317" max="2317" width="35.453125" customWidth="1"/>
    <col min="2563" max="2563" width="18.453125" customWidth="1"/>
    <col min="2564" max="2564" width="43.81640625" customWidth="1"/>
    <col min="2566" max="2566" width="16" customWidth="1"/>
    <col min="2567" max="2567" width="19.54296875" customWidth="1"/>
    <col min="2568" max="2568" width="13.81640625" customWidth="1"/>
    <col min="2569" max="2569" width="41" customWidth="1"/>
    <col min="2570" max="2570" width="14" customWidth="1"/>
    <col min="2572" max="2572" width="14.26953125" customWidth="1"/>
    <col min="2573" max="2573" width="35.453125" customWidth="1"/>
    <col min="2819" max="2819" width="18.453125" customWidth="1"/>
    <col min="2820" max="2820" width="43.81640625" customWidth="1"/>
    <col min="2822" max="2822" width="16" customWidth="1"/>
    <col min="2823" max="2823" width="19.54296875" customWidth="1"/>
    <col min="2824" max="2824" width="13.81640625" customWidth="1"/>
    <col min="2825" max="2825" width="41" customWidth="1"/>
    <col min="2826" max="2826" width="14" customWidth="1"/>
    <col min="2828" max="2828" width="14.26953125" customWidth="1"/>
    <col min="2829" max="2829" width="35.453125" customWidth="1"/>
    <col min="3075" max="3075" width="18.453125" customWidth="1"/>
    <col min="3076" max="3076" width="43.81640625" customWidth="1"/>
    <col min="3078" max="3078" width="16" customWidth="1"/>
    <col min="3079" max="3079" width="19.54296875" customWidth="1"/>
    <col min="3080" max="3080" width="13.81640625" customWidth="1"/>
    <col min="3081" max="3081" width="41" customWidth="1"/>
    <col min="3082" max="3082" width="14" customWidth="1"/>
    <col min="3084" max="3084" width="14.26953125" customWidth="1"/>
    <col min="3085" max="3085" width="35.453125" customWidth="1"/>
    <col min="3331" max="3331" width="18.453125" customWidth="1"/>
    <col min="3332" max="3332" width="43.81640625" customWidth="1"/>
    <col min="3334" max="3334" width="16" customWidth="1"/>
    <col min="3335" max="3335" width="19.54296875" customWidth="1"/>
    <col min="3336" max="3336" width="13.81640625" customWidth="1"/>
    <col min="3337" max="3337" width="41" customWidth="1"/>
    <col min="3338" max="3338" width="14" customWidth="1"/>
    <col min="3340" max="3340" width="14.26953125" customWidth="1"/>
    <col min="3341" max="3341" width="35.453125" customWidth="1"/>
    <col min="3587" max="3587" width="18.453125" customWidth="1"/>
    <col min="3588" max="3588" width="43.81640625" customWidth="1"/>
    <col min="3590" max="3590" width="16" customWidth="1"/>
    <col min="3591" max="3591" width="19.54296875" customWidth="1"/>
    <col min="3592" max="3592" width="13.81640625" customWidth="1"/>
    <col min="3593" max="3593" width="41" customWidth="1"/>
    <col min="3594" max="3594" width="14" customWidth="1"/>
    <col min="3596" max="3596" width="14.26953125" customWidth="1"/>
    <col min="3597" max="3597" width="35.453125" customWidth="1"/>
    <col min="3843" max="3843" width="18.453125" customWidth="1"/>
    <col min="3844" max="3844" width="43.81640625" customWidth="1"/>
    <col min="3846" max="3846" width="16" customWidth="1"/>
    <col min="3847" max="3847" width="19.54296875" customWidth="1"/>
    <col min="3848" max="3848" width="13.81640625" customWidth="1"/>
    <col min="3849" max="3849" width="41" customWidth="1"/>
    <col min="3850" max="3850" width="14" customWidth="1"/>
    <col min="3852" max="3852" width="14.26953125" customWidth="1"/>
    <col min="3853" max="3853" width="35.453125" customWidth="1"/>
    <col min="4099" max="4099" width="18.453125" customWidth="1"/>
    <col min="4100" max="4100" width="43.81640625" customWidth="1"/>
    <col min="4102" max="4102" width="16" customWidth="1"/>
    <col min="4103" max="4103" width="19.54296875" customWidth="1"/>
    <col min="4104" max="4104" width="13.81640625" customWidth="1"/>
    <col min="4105" max="4105" width="41" customWidth="1"/>
    <col min="4106" max="4106" width="14" customWidth="1"/>
    <col min="4108" max="4108" width="14.26953125" customWidth="1"/>
    <col min="4109" max="4109" width="35.453125" customWidth="1"/>
    <col min="4355" max="4355" width="18.453125" customWidth="1"/>
    <col min="4356" max="4356" width="43.81640625" customWidth="1"/>
    <col min="4358" max="4358" width="16" customWidth="1"/>
    <col min="4359" max="4359" width="19.54296875" customWidth="1"/>
    <col min="4360" max="4360" width="13.81640625" customWidth="1"/>
    <col min="4361" max="4361" width="41" customWidth="1"/>
    <col min="4362" max="4362" width="14" customWidth="1"/>
    <col min="4364" max="4364" width="14.26953125" customWidth="1"/>
    <col min="4365" max="4365" width="35.453125" customWidth="1"/>
    <col min="4611" max="4611" width="18.453125" customWidth="1"/>
    <col min="4612" max="4612" width="43.81640625" customWidth="1"/>
    <col min="4614" max="4614" width="16" customWidth="1"/>
    <col min="4615" max="4615" width="19.54296875" customWidth="1"/>
    <col min="4616" max="4616" width="13.81640625" customWidth="1"/>
    <col min="4617" max="4617" width="41" customWidth="1"/>
    <col min="4618" max="4618" width="14" customWidth="1"/>
    <col min="4620" max="4620" width="14.26953125" customWidth="1"/>
    <col min="4621" max="4621" width="35.453125" customWidth="1"/>
    <col min="4867" max="4867" width="18.453125" customWidth="1"/>
    <col min="4868" max="4868" width="43.81640625" customWidth="1"/>
    <col min="4870" max="4870" width="16" customWidth="1"/>
    <col min="4871" max="4871" width="19.54296875" customWidth="1"/>
    <col min="4872" max="4872" width="13.81640625" customWidth="1"/>
    <col min="4873" max="4873" width="41" customWidth="1"/>
    <col min="4874" max="4874" width="14" customWidth="1"/>
    <col min="4876" max="4876" width="14.26953125" customWidth="1"/>
    <col min="4877" max="4877" width="35.453125" customWidth="1"/>
    <col min="5123" max="5123" width="18.453125" customWidth="1"/>
    <col min="5124" max="5124" width="43.81640625" customWidth="1"/>
    <col min="5126" max="5126" width="16" customWidth="1"/>
    <col min="5127" max="5127" width="19.54296875" customWidth="1"/>
    <col min="5128" max="5128" width="13.81640625" customWidth="1"/>
    <col min="5129" max="5129" width="41" customWidth="1"/>
    <col min="5130" max="5130" width="14" customWidth="1"/>
    <col min="5132" max="5132" width="14.26953125" customWidth="1"/>
    <col min="5133" max="5133" width="35.453125" customWidth="1"/>
    <col min="5379" max="5379" width="18.453125" customWidth="1"/>
    <col min="5380" max="5380" width="43.81640625" customWidth="1"/>
    <col min="5382" max="5382" width="16" customWidth="1"/>
    <col min="5383" max="5383" width="19.54296875" customWidth="1"/>
    <col min="5384" max="5384" width="13.81640625" customWidth="1"/>
    <col min="5385" max="5385" width="41" customWidth="1"/>
    <col min="5386" max="5386" width="14" customWidth="1"/>
    <col min="5388" max="5388" width="14.26953125" customWidth="1"/>
    <col min="5389" max="5389" width="35.453125" customWidth="1"/>
    <col min="5635" max="5635" width="18.453125" customWidth="1"/>
    <col min="5636" max="5636" width="43.81640625" customWidth="1"/>
    <col min="5638" max="5638" width="16" customWidth="1"/>
    <col min="5639" max="5639" width="19.54296875" customWidth="1"/>
    <col min="5640" max="5640" width="13.81640625" customWidth="1"/>
    <col min="5641" max="5641" width="41" customWidth="1"/>
    <col min="5642" max="5642" width="14" customWidth="1"/>
    <col min="5644" max="5644" width="14.26953125" customWidth="1"/>
    <col min="5645" max="5645" width="35.453125" customWidth="1"/>
    <col min="5891" max="5891" width="18.453125" customWidth="1"/>
    <col min="5892" max="5892" width="43.81640625" customWidth="1"/>
    <col min="5894" max="5894" width="16" customWidth="1"/>
    <col min="5895" max="5895" width="19.54296875" customWidth="1"/>
    <col min="5896" max="5896" width="13.81640625" customWidth="1"/>
    <col min="5897" max="5897" width="41" customWidth="1"/>
    <col min="5898" max="5898" width="14" customWidth="1"/>
    <col min="5900" max="5900" width="14.26953125" customWidth="1"/>
    <col min="5901" max="5901" width="35.453125" customWidth="1"/>
    <col min="6147" max="6147" width="18.453125" customWidth="1"/>
    <col min="6148" max="6148" width="43.81640625" customWidth="1"/>
    <col min="6150" max="6150" width="16" customWidth="1"/>
    <col min="6151" max="6151" width="19.54296875" customWidth="1"/>
    <col min="6152" max="6152" width="13.81640625" customWidth="1"/>
    <col min="6153" max="6153" width="41" customWidth="1"/>
    <col min="6154" max="6154" width="14" customWidth="1"/>
    <col min="6156" max="6156" width="14.26953125" customWidth="1"/>
    <col min="6157" max="6157" width="35.453125" customWidth="1"/>
    <col min="6403" max="6403" width="18.453125" customWidth="1"/>
    <col min="6404" max="6404" width="43.81640625" customWidth="1"/>
    <col min="6406" max="6406" width="16" customWidth="1"/>
    <col min="6407" max="6407" width="19.54296875" customWidth="1"/>
    <col min="6408" max="6408" width="13.81640625" customWidth="1"/>
    <col min="6409" max="6409" width="41" customWidth="1"/>
    <col min="6410" max="6410" width="14" customWidth="1"/>
    <col min="6412" max="6412" width="14.26953125" customWidth="1"/>
    <col min="6413" max="6413" width="35.453125" customWidth="1"/>
    <col min="6659" max="6659" width="18.453125" customWidth="1"/>
    <col min="6660" max="6660" width="43.81640625" customWidth="1"/>
    <col min="6662" max="6662" width="16" customWidth="1"/>
    <col min="6663" max="6663" width="19.54296875" customWidth="1"/>
    <col min="6664" max="6664" width="13.81640625" customWidth="1"/>
    <col min="6665" max="6665" width="41" customWidth="1"/>
    <col min="6666" max="6666" width="14" customWidth="1"/>
    <col min="6668" max="6668" width="14.26953125" customWidth="1"/>
    <col min="6669" max="6669" width="35.453125" customWidth="1"/>
    <col min="6915" max="6915" width="18.453125" customWidth="1"/>
    <col min="6916" max="6916" width="43.81640625" customWidth="1"/>
    <col min="6918" max="6918" width="16" customWidth="1"/>
    <col min="6919" max="6919" width="19.54296875" customWidth="1"/>
    <col min="6920" max="6920" width="13.81640625" customWidth="1"/>
    <col min="6921" max="6921" width="41" customWidth="1"/>
    <col min="6922" max="6922" width="14" customWidth="1"/>
    <col min="6924" max="6924" width="14.26953125" customWidth="1"/>
    <col min="6925" max="6925" width="35.453125" customWidth="1"/>
    <col min="7171" max="7171" width="18.453125" customWidth="1"/>
    <col min="7172" max="7172" width="43.81640625" customWidth="1"/>
    <col min="7174" max="7174" width="16" customWidth="1"/>
    <col min="7175" max="7175" width="19.54296875" customWidth="1"/>
    <col min="7176" max="7176" width="13.81640625" customWidth="1"/>
    <col min="7177" max="7177" width="41" customWidth="1"/>
    <col min="7178" max="7178" width="14" customWidth="1"/>
    <col min="7180" max="7180" width="14.26953125" customWidth="1"/>
    <col min="7181" max="7181" width="35.453125" customWidth="1"/>
    <col min="7427" max="7427" width="18.453125" customWidth="1"/>
    <col min="7428" max="7428" width="43.81640625" customWidth="1"/>
    <col min="7430" max="7430" width="16" customWidth="1"/>
    <col min="7431" max="7431" width="19.54296875" customWidth="1"/>
    <col min="7432" max="7432" width="13.81640625" customWidth="1"/>
    <col min="7433" max="7433" width="41" customWidth="1"/>
    <col min="7434" max="7434" width="14" customWidth="1"/>
    <col min="7436" max="7436" width="14.26953125" customWidth="1"/>
    <col min="7437" max="7437" width="35.453125" customWidth="1"/>
    <col min="7683" max="7683" width="18.453125" customWidth="1"/>
    <col min="7684" max="7684" width="43.81640625" customWidth="1"/>
    <col min="7686" max="7686" width="16" customWidth="1"/>
    <col min="7687" max="7687" width="19.54296875" customWidth="1"/>
    <col min="7688" max="7688" width="13.81640625" customWidth="1"/>
    <col min="7689" max="7689" width="41" customWidth="1"/>
    <col min="7690" max="7690" width="14" customWidth="1"/>
    <col min="7692" max="7692" width="14.26953125" customWidth="1"/>
    <col min="7693" max="7693" width="35.453125" customWidth="1"/>
    <col min="7939" max="7939" width="18.453125" customWidth="1"/>
    <col min="7940" max="7940" width="43.81640625" customWidth="1"/>
    <col min="7942" max="7942" width="16" customWidth="1"/>
    <col min="7943" max="7943" width="19.54296875" customWidth="1"/>
    <col min="7944" max="7944" width="13.81640625" customWidth="1"/>
    <col min="7945" max="7945" width="41" customWidth="1"/>
    <col min="7946" max="7946" width="14" customWidth="1"/>
    <col min="7948" max="7948" width="14.26953125" customWidth="1"/>
    <col min="7949" max="7949" width="35.453125" customWidth="1"/>
    <col min="8195" max="8195" width="18.453125" customWidth="1"/>
    <col min="8196" max="8196" width="43.81640625" customWidth="1"/>
    <col min="8198" max="8198" width="16" customWidth="1"/>
    <col min="8199" max="8199" width="19.54296875" customWidth="1"/>
    <col min="8200" max="8200" width="13.81640625" customWidth="1"/>
    <col min="8201" max="8201" width="41" customWidth="1"/>
    <col min="8202" max="8202" width="14" customWidth="1"/>
    <col min="8204" max="8204" width="14.26953125" customWidth="1"/>
    <col min="8205" max="8205" width="35.453125" customWidth="1"/>
    <col min="8451" max="8451" width="18.453125" customWidth="1"/>
    <col min="8452" max="8452" width="43.81640625" customWidth="1"/>
    <col min="8454" max="8454" width="16" customWidth="1"/>
    <col min="8455" max="8455" width="19.54296875" customWidth="1"/>
    <col min="8456" max="8456" width="13.81640625" customWidth="1"/>
    <col min="8457" max="8457" width="41" customWidth="1"/>
    <col min="8458" max="8458" width="14" customWidth="1"/>
    <col min="8460" max="8460" width="14.26953125" customWidth="1"/>
    <col min="8461" max="8461" width="35.453125" customWidth="1"/>
    <col min="8707" max="8707" width="18.453125" customWidth="1"/>
    <col min="8708" max="8708" width="43.81640625" customWidth="1"/>
    <col min="8710" max="8710" width="16" customWidth="1"/>
    <col min="8711" max="8711" width="19.54296875" customWidth="1"/>
    <col min="8712" max="8712" width="13.81640625" customWidth="1"/>
    <col min="8713" max="8713" width="41" customWidth="1"/>
    <col min="8714" max="8714" width="14" customWidth="1"/>
    <col min="8716" max="8716" width="14.26953125" customWidth="1"/>
    <col min="8717" max="8717" width="35.453125" customWidth="1"/>
    <col min="8963" max="8963" width="18.453125" customWidth="1"/>
    <col min="8964" max="8964" width="43.81640625" customWidth="1"/>
    <col min="8966" max="8966" width="16" customWidth="1"/>
    <col min="8967" max="8967" width="19.54296875" customWidth="1"/>
    <col min="8968" max="8968" width="13.81640625" customWidth="1"/>
    <col min="8969" max="8969" width="41" customWidth="1"/>
    <col min="8970" max="8970" width="14" customWidth="1"/>
    <col min="8972" max="8972" width="14.26953125" customWidth="1"/>
    <col min="8973" max="8973" width="35.453125" customWidth="1"/>
    <col min="9219" max="9219" width="18.453125" customWidth="1"/>
    <col min="9220" max="9220" width="43.81640625" customWidth="1"/>
    <col min="9222" max="9222" width="16" customWidth="1"/>
    <col min="9223" max="9223" width="19.54296875" customWidth="1"/>
    <col min="9224" max="9224" width="13.81640625" customWidth="1"/>
    <col min="9225" max="9225" width="41" customWidth="1"/>
    <col min="9226" max="9226" width="14" customWidth="1"/>
    <col min="9228" max="9228" width="14.26953125" customWidth="1"/>
    <col min="9229" max="9229" width="35.453125" customWidth="1"/>
    <col min="9475" max="9475" width="18.453125" customWidth="1"/>
    <col min="9476" max="9476" width="43.81640625" customWidth="1"/>
    <col min="9478" max="9478" width="16" customWidth="1"/>
    <col min="9479" max="9479" width="19.54296875" customWidth="1"/>
    <col min="9480" max="9480" width="13.81640625" customWidth="1"/>
    <col min="9481" max="9481" width="41" customWidth="1"/>
    <col min="9482" max="9482" width="14" customWidth="1"/>
    <col min="9484" max="9484" width="14.26953125" customWidth="1"/>
    <col min="9485" max="9485" width="35.453125" customWidth="1"/>
    <col min="9731" max="9731" width="18.453125" customWidth="1"/>
    <col min="9732" max="9732" width="43.81640625" customWidth="1"/>
    <col min="9734" max="9734" width="16" customWidth="1"/>
    <col min="9735" max="9735" width="19.54296875" customWidth="1"/>
    <col min="9736" max="9736" width="13.81640625" customWidth="1"/>
    <col min="9737" max="9737" width="41" customWidth="1"/>
    <col min="9738" max="9738" width="14" customWidth="1"/>
    <col min="9740" max="9740" width="14.26953125" customWidth="1"/>
    <col min="9741" max="9741" width="35.453125" customWidth="1"/>
    <col min="9987" max="9987" width="18.453125" customWidth="1"/>
    <col min="9988" max="9988" width="43.81640625" customWidth="1"/>
    <col min="9990" max="9990" width="16" customWidth="1"/>
    <col min="9991" max="9991" width="19.54296875" customWidth="1"/>
    <col min="9992" max="9992" width="13.81640625" customWidth="1"/>
    <col min="9993" max="9993" width="41" customWidth="1"/>
    <col min="9994" max="9994" width="14" customWidth="1"/>
    <col min="9996" max="9996" width="14.26953125" customWidth="1"/>
    <col min="9997" max="9997" width="35.453125" customWidth="1"/>
    <col min="10243" max="10243" width="18.453125" customWidth="1"/>
    <col min="10244" max="10244" width="43.81640625" customWidth="1"/>
    <col min="10246" max="10246" width="16" customWidth="1"/>
    <col min="10247" max="10247" width="19.54296875" customWidth="1"/>
    <col min="10248" max="10248" width="13.81640625" customWidth="1"/>
    <col min="10249" max="10249" width="41" customWidth="1"/>
    <col min="10250" max="10250" width="14" customWidth="1"/>
    <col min="10252" max="10252" width="14.26953125" customWidth="1"/>
    <col min="10253" max="10253" width="35.453125" customWidth="1"/>
    <col min="10499" max="10499" width="18.453125" customWidth="1"/>
    <col min="10500" max="10500" width="43.81640625" customWidth="1"/>
    <col min="10502" max="10502" width="16" customWidth="1"/>
    <col min="10503" max="10503" width="19.54296875" customWidth="1"/>
    <col min="10504" max="10504" width="13.81640625" customWidth="1"/>
    <col min="10505" max="10505" width="41" customWidth="1"/>
    <col min="10506" max="10506" width="14" customWidth="1"/>
    <col min="10508" max="10508" width="14.26953125" customWidth="1"/>
    <col min="10509" max="10509" width="35.453125" customWidth="1"/>
    <col min="10755" max="10755" width="18.453125" customWidth="1"/>
    <col min="10756" max="10756" width="43.81640625" customWidth="1"/>
    <col min="10758" max="10758" width="16" customWidth="1"/>
    <col min="10759" max="10759" width="19.54296875" customWidth="1"/>
    <col min="10760" max="10760" width="13.81640625" customWidth="1"/>
    <col min="10761" max="10761" width="41" customWidth="1"/>
    <col min="10762" max="10762" width="14" customWidth="1"/>
    <col min="10764" max="10764" width="14.26953125" customWidth="1"/>
    <col min="10765" max="10765" width="35.453125" customWidth="1"/>
    <col min="11011" max="11011" width="18.453125" customWidth="1"/>
    <col min="11012" max="11012" width="43.81640625" customWidth="1"/>
    <col min="11014" max="11014" width="16" customWidth="1"/>
    <col min="11015" max="11015" width="19.54296875" customWidth="1"/>
    <col min="11016" max="11016" width="13.81640625" customWidth="1"/>
    <col min="11017" max="11017" width="41" customWidth="1"/>
    <col min="11018" max="11018" width="14" customWidth="1"/>
    <col min="11020" max="11020" width="14.26953125" customWidth="1"/>
    <col min="11021" max="11021" width="35.453125" customWidth="1"/>
    <col min="11267" max="11267" width="18.453125" customWidth="1"/>
    <col min="11268" max="11268" width="43.81640625" customWidth="1"/>
    <col min="11270" max="11270" width="16" customWidth="1"/>
    <col min="11271" max="11271" width="19.54296875" customWidth="1"/>
    <col min="11272" max="11272" width="13.81640625" customWidth="1"/>
    <col min="11273" max="11273" width="41" customWidth="1"/>
    <col min="11274" max="11274" width="14" customWidth="1"/>
    <col min="11276" max="11276" width="14.26953125" customWidth="1"/>
    <col min="11277" max="11277" width="35.453125" customWidth="1"/>
    <col min="11523" max="11523" width="18.453125" customWidth="1"/>
    <col min="11524" max="11524" width="43.81640625" customWidth="1"/>
    <col min="11526" max="11526" width="16" customWidth="1"/>
    <col min="11527" max="11527" width="19.54296875" customWidth="1"/>
    <col min="11528" max="11528" width="13.81640625" customWidth="1"/>
    <col min="11529" max="11529" width="41" customWidth="1"/>
    <col min="11530" max="11530" width="14" customWidth="1"/>
    <col min="11532" max="11532" width="14.26953125" customWidth="1"/>
    <col min="11533" max="11533" width="35.453125" customWidth="1"/>
    <col min="11779" max="11779" width="18.453125" customWidth="1"/>
    <col min="11780" max="11780" width="43.81640625" customWidth="1"/>
    <col min="11782" max="11782" width="16" customWidth="1"/>
    <col min="11783" max="11783" width="19.54296875" customWidth="1"/>
    <col min="11784" max="11784" width="13.81640625" customWidth="1"/>
    <col min="11785" max="11785" width="41" customWidth="1"/>
    <col min="11786" max="11786" width="14" customWidth="1"/>
    <col min="11788" max="11788" width="14.26953125" customWidth="1"/>
    <col min="11789" max="11789" width="35.453125" customWidth="1"/>
    <col min="12035" max="12035" width="18.453125" customWidth="1"/>
    <col min="12036" max="12036" width="43.81640625" customWidth="1"/>
    <col min="12038" max="12038" width="16" customWidth="1"/>
    <col min="12039" max="12039" width="19.54296875" customWidth="1"/>
    <col min="12040" max="12040" width="13.81640625" customWidth="1"/>
    <col min="12041" max="12041" width="41" customWidth="1"/>
    <col min="12042" max="12042" width="14" customWidth="1"/>
    <col min="12044" max="12044" width="14.26953125" customWidth="1"/>
    <col min="12045" max="12045" width="35.453125" customWidth="1"/>
    <col min="12291" max="12291" width="18.453125" customWidth="1"/>
    <col min="12292" max="12292" width="43.81640625" customWidth="1"/>
    <col min="12294" max="12294" width="16" customWidth="1"/>
    <col min="12295" max="12295" width="19.54296875" customWidth="1"/>
    <col min="12296" max="12296" width="13.81640625" customWidth="1"/>
    <col min="12297" max="12297" width="41" customWidth="1"/>
    <col min="12298" max="12298" width="14" customWidth="1"/>
    <col min="12300" max="12300" width="14.26953125" customWidth="1"/>
    <col min="12301" max="12301" width="35.453125" customWidth="1"/>
    <col min="12547" max="12547" width="18.453125" customWidth="1"/>
    <col min="12548" max="12548" width="43.81640625" customWidth="1"/>
    <col min="12550" max="12550" width="16" customWidth="1"/>
    <col min="12551" max="12551" width="19.54296875" customWidth="1"/>
    <col min="12552" max="12552" width="13.81640625" customWidth="1"/>
    <col min="12553" max="12553" width="41" customWidth="1"/>
    <col min="12554" max="12554" width="14" customWidth="1"/>
    <col min="12556" max="12556" width="14.26953125" customWidth="1"/>
    <col min="12557" max="12557" width="35.453125" customWidth="1"/>
    <col min="12803" max="12803" width="18.453125" customWidth="1"/>
    <col min="12804" max="12804" width="43.81640625" customWidth="1"/>
    <col min="12806" max="12806" width="16" customWidth="1"/>
    <col min="12807" max="12807" width="19.54296875" customWidth="1"/>
    <col min="12808" max="12808" width="13.81640625" customWidth="1"/>
    <col min="12809" max="12809" width="41" customWidth="1"/>
    <col min="12810" max="12810" width="14" customWidth="1"/>
    <col min="12812" max="12812" width="14.26953125" customWidth="1"/>
    <col min="12813" max="12813" width="35.453125" customWidth="1"/>
    <col min="13059" max="13059" width="18.453125" customWidth="1"/>
    <col min="13060" max="13060" width="43.81640625" customWidth="1"/>
    <col min="13062" max="13062" width="16" customWidth="1"/>
    <col min="13063" max="13063" width="19.54296875" customWidth="1"/>
    <col min="13064" max="13064" width="13.81640625" customWidth="1"/>
    <col min="13065" max="13065" width="41" customWidth="1"/>
    <col min="13066" max="13066" width="14" customWidth="1"/>
    <col min="13068" max="13068" width="14.26953125" customWidth="1"/>
    <col min="13069" max="13069" width="35.453125" customWidth="1"/>
    <col min="13315" max="13315" width="18.453125" customWidth="1"/>
    <col min="13316" max="13316" width="43.81640625" customWidth="1"/>
    <col min="13318" max="13318" width="16" customWidth="1"/>
    <col min="13319" max="13319" width="19.54296875" customWidth="1"/>
    <col min="13320" max="13320" width="13.81640625" customWidth="1"/>
    <col min="13321" max="13321" width="41" customWidth="1"/>
    <col min="13322" max="13322" width="14" customWidth="1"/>
    <col min="13324" max="13324" width="14.26953125" customWidth="1"/>
    <col min="13325" max="13325" width="35.453125" customWidth="1"/>
    <col min="13571" max="13571" width="18.453125" customWidth="1"/>
    <col min="13572" max="13572" width="43.81640625" customWidth="1"/>
    <col min="13574" max="13574" width="16" customWidth="1"/>
    <col min="13575" max="13575" width="19.54296875" customWidth="1"/>
    <col min="13576" max="13576" width="13.81640625" customWidth="1"/>
    <col min="13577" max="13577" width="41" customWidth="1"/>
    <col min="13578" max="13578" width="14" customWidth="1"/>
    <col min="13580" max="13580" width="14.26953125" customWidth="1"/>
    <col min="13581" max="13581" width="35.453125" customWidth="1"/>
    <col min="13827" max="13827" width="18.453125" customWidth="1"/>
    <col min="13828" max="13828" width="43.81640625" customWidth="1"/>
    <col min="13830" max="13830" width="16" customWidth="1"/>
    <col min="13831" max="13831" width="19.54296875" customWidth="1"/>
    <col min="13832" max="13832" width="13.81640625" customWidth="1"/>
    <col min="13833" max="13833" width="41" customWidth="1"/>
    <col min="13834" max="13834" width="14" customWidth="1"/>
    <col min="13836" max="13836" width="14.26953125" customWidth="1"/>
    <col min="13837" max="13837" width="35.453125" customWidth="1"/>
    <col min="14083" max="14083" width="18.453125" customWidth="1"/>
    <col min="14084" max="14084" width="43.81640625" customWidth="1"/>
    <col min="14086" max="14086" width="16" customWidth="1"/>
    <col min="14087" max="14087" width="19.54296875" customWidth="1"/>
    <col min="14088" max="14088" width="13.81640625" customWidth="1"/>
    <col min="14089" max="14089" width="41" customWidth="1"/>
    <col min="14090" max="14090" width="14" customWidth="1"/>
    <col min="14092" max="14092" width="14.26953125" customWidth="1"/>
    <col min="14093" max="14093" width="35.453125" customWidth="1"/>
    <col min="14339" max="14339" width="18.453125" customWidth="1"/>
    <col min="14340" max="14340" width="43.81640625" customWidth="1"/>
    <col min="14342" max="14342" width="16" customWidth="1"/>
    <col min="14343" max="14343" width="19.54296875" customWidth="1"/>
    <col min="14344" max="14344" width="13.81640625" customWidth="1"/>
    <col min="14345" max="14345" width="41" customWidth="1"/>
    <col min="14346" max="14346" width="14" customWidth="1"/>
    <col min="14348" max="14348" width="14.26953125" customWidth="1"/>
    <col min="14349" max="14349" width="35.453125" customWidth="1"/>
    <col min="14595" max="14595" width="18.453125" customWidth="1"/>
    <col min="14596" max="14596" width="43.81640625" customWidth="1"/>
    <col min="14598" max="14598" width="16" customWidth="1"/>
    <col min="14599" max="14599" width="19.54296875" customWidth="1"/>
    <col min="14600" max="14600" width="13.81640625" customWidth="1"/>
    <col min="14601" max="14601" width="41" customWidth="1"/>
    <col min="14602" max="14602" width="14" customWidth="1"/>
    <col min="14604" max="14604" width="14.26953125" customWidth="1"/>
    <col min="14605" max="14605" width="35.453125" customWidth="1"/>
    <col min="14851" max="14851" width="18.453125" customWidth="1"/>
    <col min="14852" max="14852" width="43.81640625" customWidth="1"/>
    <col min="14854" max="14854" width="16" customWidth="1"/>
    <col min="14855" max="14855" width="19.54296875" customWidth="1"/>
    <col min="14856" max="14856" width="13.81640625" customWidth="1"/>
    <col min="14857" max="14857" width="41" customWidth="1"/>
    <col min="14858" max="14858" width="14" customWidth="1"/>
    <col min="14860" max="14860" width="14.26953125" customWidth="1"/>
    <col min="14861" max="14861" width="35.453125" customWidth="1"/>
    <col min="15107" max="15107" width="18.453125" customWidth="1"/>
    <col min="15108" max="15108" width="43.81640625" customWidth="1"/>
    <col min="15110" max="15110" width="16" customWidth="1"/>
    <col min="15111" max="15111" width="19.54296875" customWidth="1"/>
    <col min="15112" max="15112" width="13.81640625" customWidth="1"/>
    <col min="15113" max="15113" width="41" customWidth="1"/>
    <col min="15114" max="15114" width="14" customWidth="1"/>
    <col min="15116" max="15116" width="14.26953125" customWidth="1"/>
    <col min="15117" max="15117" width="35.453125" customWidth="1"/>
    <col min="15363" max="15363" width="18.453125" customWidth="1"/>
    <col min="15364" max="15364" width="43.81640625" customWidth="1"/>
    <col min="15366" max="15366" width="16" customWidth="1"/>
    <col min="15367" max="15367" width="19.54296875" customWidth="1"/>
    <col min="15368" max="15368" width="13.81640625" customWidth="1"/>
    <col min="15369" max="15369" width="41" customWidth="1"/>
    <col min="15370" max="15370" width="14" customWidth="1"/>
    <col min="15372" max="15372" width="14.26953125" customWidth="1"/>
    <col min="15373" max="15373" width="35.453125" customWidth="1"/>
    <col min="15619" max="15619" width="18.453125" customWidth="1"/>
    <col min="15620" max="15620" width="43.81640625" customWidth="1"/>
    <col min="15622" max="15622" width="16" customWidth="1"/>
    <col min="15623" max="15623" width="19.54296875" customWidth="1"/>
    <col min="15624" max="15624" width="13.81640625" customWidth="1"/>
    <col min="15625" max="15625" width="41" customWidth="1"/>
    <col min="15626" max="15626" width="14" customWidth="1"/>
    <col min="15628" max="15628" width="14.26953125" customWidth="1"/>
    <col min="15629" max="15629" width="35.453125" customWidth="1"/>
    <col min="15875" max="15875" width="18.453125" customWidth="1"/>
    <col min="15876" max="15876" width="43.81640625" customWidth="1"/>
    <col min="15878" max="15878" width="16" customWidth="1"/>
    <col min="15879" max="15879" width="19.54296875" customWidth="1"/>
    <col min="15880" max="15880" width="13.81640625" customWidth="1"/>
    <col min="15881" max="15881" width="41" customWidth="1"/>
    <col min="15882" max="15882" width="14" customWidth="1"/>
    <col min="15884" max="15884" width="14.26953125" customWidth="1"/>
    <col min="15885" max="15885" width="35.453125" customWidth="1"/>
    <col min="16131" max="16131" width="18.453125" customWidth="1"/>
    <col min="16132" max="16132" width="43.81640625" customWidth="1"/>
    <col min="16134" max="16134" width="16" customWidth="1"/>
    <col min="16135" max="16135" width="19.54296875" customWidth="1"/>
    <col min="16136" max="16136" width="13.81640625" customWidth="1"/>
    <col min="16137" max="16137" width="41" customWidth="1"/>
    <col min="16138" max="16138" width="14" customWidth="1"/>
    <col min="16140" max="16140" width="14.26953125" customWidth="1"/>
    <col min="16141" max="16141" width="35.453125" customWidth="1"/>
  </cols>
  <sheetData>
    <row r="1" spans="1:13" ht="20.25" customHeight="1" x14ac:dyDescent="0.35">
      <c r="A1" s="62"/>
      <c r="I1" s="468"/>
      <c r="J1" s="84">
        <f>I9+I19+I20+I23+I32+I33+I40+I41</f>
        <v>70189.510000000009</v>
      </c>
    </row>
    <row r="2" spans="1:13" ht="18.75" customHeight="1" x14ac:dyDescent="0.35">
      <c r="A2" s="85" t="s">
        <v>512</v>
      </c>
      <c r="I2" s="467"/>
      <c r="J2">
        <f>I8+I10+I11+I12+I13+I14+I15+I16+I17+I18+I21+I22+I24+I25+I26+I27+I28+I29+I30+I31+I34+I35+I38+I39+I42+I43+I44</f>
        <v>301899.66999999993</v>
      </c>
    </row>
    <row r="3" spans="1:13" ht="17.5" x14ac:dyDescent="0.35">
      <c r="A3" s="650" t="s">
        <v>4</v>
      </c>
      <c r="B3" s="650"/>
      <c r="C3" s="650"/>
      <c r="D3" s="650"/>
      <c r="E3" s="651"/>
      <c r="F3" s="651"/>
      <c r="G3" s="651"/>
      <c r="H3" s="651"/>
      <c r="I3" s="651"/>
      <c r="J3" s="651"/>
      <c r="K3" s="651"/>
      <c r="L3" s="651"/>
      <c r="M3" s="652"/>
    </row>
    <row r="4" spans="1:13" ht="17.25" customHeight="1" x14ac:dyDescent="0.35">
      <c r="A4" s="587" t="s">
        <v>132</v>
      </c>
      <c r="B4" s="588"/>
      <c r="C4" s="588"/>
      <c r="D4" s="588"/>
      <c r="E4" s="589"/>
      <c r="F4" s="587" t="s">
        <v>4</v>
      </c>
      <c r="G4" s="588"/>
      <c r="H4" s="588"/>
      <c r="I4" s="588"/>
      <c r="J4" s="588"/>
      <c r="K4" s="588"/>
      <c r="L4" s="588"/>
      <c r="M4" s="589"/>
    </row>
    <row r="5" spans="1:13" ht="15.75" customHeight="1" x14ac:dyDescent="0.35">
      <c r="A5" s="590" t="s">
        <v>575</v>
      </c>
      <c r="B5" s="590" t="s">
        <v>133</v>
      </c>
      <c r="C5" s="590" t="s">
        <v>574</v>
      </c>
      <c r="D5" s="590" t="s">
        <v>6</v>
      </c>
      <c r="E5" s="590" t="s">
        <v>7</v>
      </c>
      <c r="F5" s="587" t="s">
        <v>134</v>
      </c>
      <c r="G5" s="588"/>
      <c r="H5" s="588"/>
      <c r="I5" s="589"/>
      <c r="J5" s="587" t="s">
        <v>571</v>
      </c>
      <c r="K5" s="588"/>
      <c r="L5" s="589"/>
      <c r="M5" s="590" t="s">
        <v>135</v>
      </c>
    </row>
    <row r="6" spans="1:13" ht="33" customHeight="1" x14ac:dyDescent="0.35">
      <c r="A6" s="591"/>
      <c r="B6" s="591"/>
      <c r="C6" s="591"/>
      <c r="D6" s="591"/>
      <c r="E6" s="591"/>
      <c r="F6" s="5" t="s">
        <v>8</v>
      </c>
      <c r="G6" s="5" t="s">
        <v>9</v>
      </c>
      <c r="H6" s="5" t="s">
        <v>10</v>
      </c>
      <c r="I6" s="5" t="s">
        <v>11</v>
      </c>
      <c r="J6" s="91" t="s">
        <v>659</v>
      </c>
      <c r="K6" s="5" t="s">
        <v>579</v>
      </c>
      <c r="L6" s="5" t="s">
        <v>573</v>
      </c>
      <c r="M6" s="591"/>
    </row>
    <row r="7" spans="1:13" ht="21.75" customHeight="1" x14ac:dyDescent="0.35">
      <c r="A7" s="6"/>
      <c r="B7" s="7"/>
      <c r="C7" s="7"/>
      <c r="D7" s="7"/>
      <c r="E7" s="9">
        <f>SUM(E8:E44)</f>
        <v>540058</v>
      </c>
      <c r="F7" s="7"/>
      <c r="G7" s="7"/>
      <c r="H7" s="7"/>
      <c r="I7" s="9">
        <f>SUM(I8:I44)</f>
        <v>372089.18</v>
      </c>
      <c r="J7" s="9"/>
      <c r="K7" s="9">
        <f>SUM(K8:K44)</f>
        <v>372089.18</v>
      </c>
      <c r="L7" s="7"/>
      <c r="M7" s="7"/>
    </row>
    <row r="8" spans="1:13" ht="33" customHeight="1" x14ac:dyDescent="0.35">
      <c r="A8" s="404" t="s">
        <v>364</v>
      </c>
      <c r="B8" s="404" t="s">
        <v>24</v>
      </c>
      <c r="C8" s="404" t="s">
        <v>669</v>
      </c>
      <c r="D8" s="395">
        <v>1</v>
      </c>
      <c r="E8" s="394">
        <v>43558</v>
      </c>
      <c r="F8" s="335" t="s">
        <v>513</v>
      </c>
      <c r="G8" s="401">
        <v>44281</v>
      </c>
      <c r="H8" s="335" t="s">
        <v>514</v>
      </c>
      <c r="I8" s="335">
        <v>33880</v>
      </c>
      <c r="J8" s="410">
        <v>857</v>
      </c>
      <c r="K8" s="410">
        <v>33880</v>
      </c>
      <c r="L8" s="410"/>
      <c r="M8" s="268" t="s">
        <v>1053</v>
      </c>
    </row>
    <row r="9" spans="1:13" ht="23.25" customHeight="1" x14ac:dyDescent="0.35">
      <c r="A9" s="452" t="s">
        <v>25</v>
      </c>
      <c r="B9" s="452" t="s">
        <v>25</v>
      </c>
      <c r="C9" s="452" t="s">
        <v>669</v>
      </c>
      <c r="D9" s="340">
        <v>2</v>
      </c>
      <c r="E9" s="347">
        <v>38000</v>
      </c>
      <c r="F9" s="340">
        <v>1063017828</v>
      </c>
      <c r="G9" s="341">
        <v>44357</v>
      </c>
      <c r="H9" s="340" t="s">
        <v>230</v>
      </c>
      <c r="I9" s="453">
        <v>16162.04</v>
      </c>
      <c r="J9" s="340">
        <v>1755</v>
      </c>
      <c r="K9" s="454">
        <v>16162.04</v>
      </c>
      <c r="L9" s="345"/>
      <c r="M9" s="455"/>
    </row>
    <row r="10" spans="1:13" ht="35.25" customHeight="1" x14ac:dyDescent="0.35">
      <c r="A10" s="404" t="s">
        <v>83</v>
      </c>
      <c r="B10" s="404" t="s">
        <v>83</v>
      </c>
      <c r="C10" s="404" t="s">
        <v>669</v>
      </c>
      <c r="D10" s="395">
        <v>1</v>
      </c>
      <c r="E10" s="394">
        <v>22477</v>
      </c>
      <c r="F10" s="335" t="s">
        <v>515</v>
      </c>
      <c r="G10" s="401">
        <v>44314</v>
      </c>
      <c r="H10" s="335" t="s">
        <v>516</v>
      </c>
      <c r="I10" s="335">
        <v>22475.75</v>
      </c>
      <c r="J10" s="410">
        <v>1096</v>
      </c>
      <c r="K10" s="408">
        <v>22475.75</v>
      </c>
      <c r="L10" s="408"/>
      <c r="M10" s="268" t="s">
        <v>1053</v>
      </c>
    </row>
    <row r="11" spans="1:13" ht="28" x14ac:dyDescent="0.35">
      <c r="A11" s="404" t="s">
        <v>757</v>
      </c>
      <c r="B11" s="404" t="s">
        <v>246</v>
      </c>
      <c r="C11" s="404" t="s">
        <v>669</v>
      </c>
      <c r="D11" s="395">
        <v>2</v>
      </c>
      <c r="E11" s="394">
        <v>23872</v>
      </c>
      <c r="F11" s="335" t="s">
        <v>744</v>
      </c>
      <c r="G11" s="401">
        <v>44322</v>
      </c>
      <c r="H11" s="335" t="s">
        <v>517</v>
      </c>
      <c r="I11" s="335">
        <v>11035.2</v>
      </c>
      <c r="J11" s="410">
        <v>1165</v>
      </c>
      <c r="K11" s="408">
        <v>11035.2</v>
      </c>
      <c r="L11" s="409"/>
      <c r="M11" s="268" t="s">
        <v>1053</v>
      </c>
    </row>
    <row r="12" spans="1:13" ht="85.5" customHeight="1" x14ac:dyDescent="0.35">
      <c r="A12" s="404" t="s">
        <v>759</v>
      </c>
      <c r="B12" s="404" t="s">
        <v>27</v>
      </c>
      <c r="C12" s="404" t="s">
        <v>669</v>
      </c>
      <c r="D12" s="395">
        <v>2</v>
      </c>
      <c r="E12" s="394">
        <v>22964</v>
      </c>
      <c r="F12" s="335" t="s">
        <v>745</v>
      </c>
      <c r="G12" s="401">
        <v>44328</v>
      </c>
      <c r="H12" s="335" t="s">
        <v>518</v>
      </c>
      <c r="I12" s="335">
        <v>15354.9</v>
      </c>
      <c r="J12" s="410">
        <v>1178</v>
      </c>
      <c r="K12" s="408">
        <v>15354.9</v>
      </c>
      <c r="L12" s="409"/>
      <c r="M12" s="268" t="s">
        <v>1053</v>
      </c>
    </row>
    <row r="13" spans="1:13" ht="24" customHeight="1" x14ac:dyDescent="0.35">
      <c r="A13" s="404" t="s">
        <v>784</v>
      </c>
      <c r="B13" s="404" t="s">
        <v>145</v>
      </c>
      <c r="C13" s="404" t="s">
        <v>669</v>
      </c>
      <c r="D13" s="335">
        <v>1</v>
      </c>
      <c r="E13" s="394">
        <v>9711</v>
      </c>
      <c r="F13" s="246" t="s">
        <v>519</v>
      </c>
      <c r="G13" s="401">
        <v>44314</v>
      </c>
      <c r="H13" s="335" t="s">
        <v>516</v>
      </c>
      <c r="I13" s="335">
        <v>4999.92</v>
      </c>
      <c r="J13" s="410">
        <v>1095</v>
      </c>
      <c r="K13" s="410">
        <v>4999.92</v>
      </c>
      <c r="L13" s="410"/>
      <c r="M13" s="268" t="s">
        <v>1053</v>
      </c>
    </row>
    <row r="14" spans="1:13" ht="28" x14ac:dyDescent="0.35">
      <c r="A14" s="335" t="s">
        <v>146</v>
      </c>
      <c r="B14" s="404" t="s">
        <v>146</v>
      </c>
      <c r="C14" s="404" t="s">
        <v>669</v>
      </c>
      <c r="D14" s="335">
        <v>1</v>
      </c>
      <c r="E14" s="394">
        <v>8722</v>
      </c>
      <c r="F14" s="246" t="s">
        <v>520</v>
      </c>
      <c r="G14" s="400">
        <v>44308</v>
      </c>
      <c r="H14" s="335" t="s">
        <v>517</v>
      </c>
      <c r="I14" s="456">
        <v>4393.51</v>
      </c>
      <c r="J14" s="403">
        <v>1079</v>
      </c>
      <c r="K14" s="406">
        <v>4393.51</v>
      </c>
      <c r="L14" s="406"/>
      <c r="M14" s="268" t="s">
        <v>1053</v>
      </c>
    </row>
    <row r="15" spans="1:13" ht="16.5" customHeight="1" x14ac:dyDescent="0.35">
      <c r="A15" s="335" t="s">
        <v>84</v>
      </c>
      <c r="B15" s="335" t="s">
        <v>84</v>
      </c>
      <c r="C15" s="404" t="s">
        <v>669</v>
      </c>
      <c r="D15" s="335">
        <v>1</v>
      </c>
      <c r="E15" s="394">
        <v>3126</v>
      </c>
      <c r="F15" s="335" t="s">
        <v>746</v>
      </c>
      <c r="G15" s="401">
        <v>44343</v>
      </c>
      <c r="H15" s="335" t="s">
        <v>518</v>
      </c>
      <c r="I15" s="335">
        <v>1657.7</v>
      </c>
      <c r="J15" s="410">
        <v>1400</v>
      </c>
      <c r="K15" s="410">
        <v>1657.7</v>
      </c>
      <c r="L15" s="335"/>
      <c r="M15" s="268" t="s">
        <v>1053</v>
      </c>
    </row>
    <row r="16" spans="1:13" ht="18.75" customHeight="1" x14ac:dyDescent="0.35">
      <c r="A16" s="335" t="s">
        <v>752</v>
      </c>
      <c r="B16" s="335" t="s">
        <v>33</v>
      </c>
      <c r="C16" s="404" t="s">
        <v>669</v>
      </c>
      <c r="D16" s="335">
        <v>2</v>
      </c>
      <c r="E16" s="394">
        <v>2986</v>
      </c>
      <c r="F16" s="335" t="s">
        <v>521</v>
      </c>
      <c r="G16" s="401">
        <v>44300</v>
      </c>
      <c r="H16" s="335" t="s">
        <v>522</v>
      </c>
      <c r="I16" s="335">
        <v>4592.99</v>
      </c>
      <c r="J16" s="410">
        <v>1031</v>
      </c>
      <c r="K16" s="410">
        <v>4592.99</v>
      </c>
      <c r="L16" s="410"/>
      <c r="M16" s="268" t="s">
        <v>1053</v>
      </c>
    </row>
    <row r="17" spans="1:13" ht="19.5" customHeight="1" x14ac:dyDescent="0.35">
      <c r="A17" s="335" t="s">
        <v>35</v>
      </c>
      <c r="B17" s="404" t="s">
        <v>35</v>
      </c>
      <c r="C17" s="404" t="s">
        <v>669</v>
      </c>
      <c r="D17" s="335">
        <v>1</v>
      </c>
      <c r="E17" s="394">
        <v>1300</v>
      </c>
      <c r="F17" s="335" t="s">
        <v>747</v>
      </c>
      <c r="G17" s="401">
        <v>44333</v>
      </c>
      <c r="H17" s="335" t="s">
        <v>516</v>
      </c>
      <c r="I17" s="335">
        <v>677.6</v>
      </c>
      <c r="J17" s="410">
        <v>1244</v>
      </c>
      <c r="K17" s="410">
        <v>677.6</v>
      </c>
      <c r="L17" s="335"/>
      <c r="M17" s="268" t="s">
        <v>1053</v>
      </c>
    </row>
    <row r="18" spans="1:13" ht="31" x14ac:dyDescent="0.35">
      <c r="A18" s="335" t="s">
        <v>763</v>
      </c>
      <c r="B18" s="404" t="s">
        <v>464</v>
      </c>
      <c r="C18" s="404" t="s">
        <v>669</v>
      </c>
      <c r="D18" s="335">
        <v>2</v>
      </c>
      <c r="E18" s="394">
        <v>4422</v>
      </c>
      <c r="F18" s="335" t="s">
        <v>748</v>
      </c>
      <c r="G18" s="400">
        <v>44322</v>
      </c>
      <c r="H18" s="335" t="s">
        <v>517</v>
      </c>
      <c r="I18" s="335">
        <v>1657.7</v>
      </c>
      <c r="J18" s="410">
        <v>1166</v>
      </c>
      <c r="K18" s="410">
        <v>1657.7</v>
      </c>
      <c r="L18" s="335"/>
      <c r="M18" s="268" t="s">
        <v>1053</v>
      </c>
    </row>
    <row r="19" spans="1:13" ht="15.5" x14ac:dyDescent="0.35">
      <c r="A19" s="345"/>
      <c r="B19" s="460" t="s">
        <v>37</v>
      </c>
      <c r="C19" s="460" t="s">
        <v>669</v>
      </c>
      <c r="D19" s="340">
        <v>1</v>
      </c>
      <c r="E19" s="342">
        <v>1098</v>
      </c>
      <c r="F19" s="459"/>
      <c r="G19" s="559"/>
      <c r="H19" s="459"/>
      <c r="I19" s="459"/>
      <c r="J19" s="560"/>
      <c r="K19" s="560"/>
      <c r="L19" s="459"/>
      <c r="M19" s="561"/>
    </row>
    <row r="20" spans="1:13" ht="15.75" customHeight="1" x14ac:dyDescent="0.35">
      <c r="A20" s="345" t="s">
        <v>706</v>
      </c>
      <c r="B20" s="452" t="s">
        <v>38</v>
      </c>
      <c r="C20" s="452" t="s">
        <v>669</v>
      </c>
      <c r="D20" s="345">
        <v>2</v>
      </c>
      <c r="E20" s="347">
        <v>1344</v>
      </c>
      <c r="F20" s="345" t="s">
        <v>979</v>
      </c>
      <c r="G20" s="346">
        <v>44440</v>
      </c>
      <c r="H20" s="345" t="s">
        <v>516</v>
      </c>
      <c r="I20" s="345">
        <v>1344.07</v>
      </c>
      <c r="J20" s="457">
        <v>2036</v>
      </c>
      <c r="K20" s="457">
        <v>1344.07</v>
      </c>
      <c r="L20" s="345"/>
      <c r="M20" s="455"/>
    </row>
    <row r="21" spans="1:13" ht="28" x14ac:dyDescent="0.35">
      <c r="A21" s="335" t="s">
        <v>760</v>
      </c>
      <c r="B21" s="404" t="s">
        <v>26</v>
      </c>
      <c r="C21" s="404" t="s">
        <v>669</v>
      </c>
      <c r="D21" s="335">
        <v>1</v>
      </c>
      <c r="E21" s="394">
        <v>11952</v>
      </c>
      <c r="F21" s="335" t="s">
        <v>523</v>
      </c>
      <c r="G21" s="401">
        <v>44308</v>
      </c>
      <c r="H21" s="335" t="s">
        <v>517</v>
      </c>
      <c r="I21" s="335">
        <v>14446.19</v>
      </c>
      <c r="J21" s="410">
        <v>1079</v>
      </c>
      <c r="K21" s="408">
        <v>14446.19</v>
      </c>
      <c r="L21" s="408"/>
      <c r="M21" s="268" t="s">
        <v>1053</v>
      </c>
    </row>
    <row r="22" spans="1:13" ht="31" x14ac:dyDescent="0.35">
      <c r="A22" s="335" t="s">
        <v>762</v>
      </c>
      <c r="B22" s="404" t="s">
        <v>29</v>
      </c>
      <c r="C22" s="404" t="s">
        <v>669</v>
      </c>
      <c r="D22" s="335">
        <v>1</v>
      </c>
      <c r="E22" s="394">
        <v>5677</v>
      </c>
      <c r="F22" s="335" t="s">
        <v>524</v>
      </c>
      <c r="G22" s="401">
        <v>44315</v>
      </c>
      <c r="H22" s="335" t="s">
        <v>525</v>
      </c>
      <c r="I22" s="335">
        <v>5904.8</v>
      </c>
      <c r="J22" s="458">
        <v>1399</v>
      </c>
      <c r="K22" s="410">
        <v>5904.8</v>
      </c>
      <c r="L22" s="335"/>
      <c r="M22" s="268" t="s">
        <v>1053</v>
      </c>
    </row>
    <row r="23" spans="1:13" ht="46.5" x14ac:dyDescent="0.35">
      <c r="A23" s="340" t="s">
        <v>1083</v>
      </c>
      <c r="B23" s="460" t="s">
        <v>252</v>
      </c>
      <c r="C23" s="460" t="s">
        <v>669</v>
      </c>
      <c r="D23" s="340">
        <v>6</v>
      </c>
      <c r="E23" s="342">
        <v>15240</v>
      </c>
      <c r="F23" s="345" t="s">
        <v>977</v>
      </c>
      <c r="G23" s="346">
        <v>44379</v>
      </c>
      <c r="H23" s="345" t="s">
        <v>518</v>
      </c>
      <c r="I23" s="345">
        <v>13431</v>
      </c>
      <c r="J23" s="457">
        <v>1626</v>
      </c>
      <c r="K23" s="457">
        <v>13431</v>
      </c>
      <c r="L23" s="345"/>
      <c r="M23" s="455"/>
    </row>
    <row r="24" spans="1:13" ht="19.5" customHeight="1" x14ac:dyDescent="0.35">
      <c r="A24" s="335" t="s">
        <v>754</v>
      </c>
      <c r="B24" s="404" t="s">
        <v>45</v>
      </c>
      <c r="C24" s="404" t="s">
        <v>669</v>
      </c>
      <c r="D24" s="335">
        <v>2</v>
      </c>
      <c r="E24" s="394">
        <v>4136</v>
      </c>
      <c r="F24" s="335" t="s">
        <v>747</v>
      </c>
      <c r="G24" s="401">
        <v>44333</v>
      </c>
      <c r="H24" s="335" t="s">
        <v>516</v>
      </c>
      <c r="I24" s="335">
        <v>3968.8</v>
      </c>
      <c r="J24" s="410">
        <v>1244</v>
      </c>
      <c r="K24" s="410">
        <v>3968.8</v>
      </c>
      <c r="L24" s="335"/>
      <c r="M24" s="268" t="s">
        <v>1053</v>
      </c>
    </row>
    <row r="25" spans="1:13" ht="28" x14ac:dyDescent="0.35">
      <c r="A25" s="335" t="s">
        <v>511</v>
      </c>
      <c r="B25" s="404" t="s">
        <v>511</v>
      </c>
      <c r="C25" s="404" t="s">
        <v>669</v>
      </c>
      <c r="D25" s="335">
        <v>1</v>
      </c>
      <c r="E25" s="394">
        <v>1487</v>
      </c>
      <c r="F25" s="335" t="s">
        <v>746</v>
      </c>
      <c r="G25" s="401">
        <v>44343</v>
      </c>
      <c r="H25" s="335" t="s">
        <v>518</v>
      </c>
      <c r="I25" s="335">
        <v>1657.7</v>
      </c>
      <c r="J25" s="410">
        <v>1400</v>
      </c>
      <c r="K25" s="410">
        <v>1657.7</v>
      </c>
      <c r="L25" s="335"/>
      <c r="M25" s="268" t="s">
        <v>1053</v>
      </c>
    </row>
    <row r="26" spans="1:13" ht="16.5" customHeight="1" x14ac:dyDescent="0.35">
      <c r="A26" s="335" t="s">
        <v>46</v>
      </c>
      <c r="B26" s="287" t="s">
        <v>46</v>
      </c>
      <c r="C26" s="398" t="s">
        <v>669</v>
      </c>
      <c r="D26" s="335">
        <v>1</v>
      </c>
      <c r="E26" s="394">
        <v>576</v>
      </c>
      <c r="F26" s="335" t="s">
        <v>526</v>
      </c>
      <c r="G26" s="401">
        <v>44314</v>
      </c>
      <c r="H26" s="335" t="s">
        <v>516</v>
      </c>
      <c r="I26" s="335">
        <v>961.95</v>
      </c>
      <c r="J26" s="410">
        <v>1094</v>
      </c>
      <c r="K26" s="410">
        <v>961.95</v>
      </c>
      <c r="L26" s="335"/>
      <c r="M26" s="268" t="s">
        <v>1053</v>
      </c>
    </row>
    <row r="27" spans="1:13" ht="18.75" customHeight="1" x14ac:dyDescent="0.35">
      <c r="A27" s="335" t="s">
        <v>761</v>
      </c>
      <c r="B27" s="335" t="s">
        <v>39</v>
      </c>
      <c r="C27" s="404" t="s">
        <v>669</v>
      </c>
      <c r="D27" s="405">
        <v>1</v>
      </c>
      <c r="E27" s="394">
        <v>49489</v>
      </c>
      <c r="F27" s="246" t="s">
        <v>527</v>
      </c>
      <c r="G27" s="400">
        <v>44295</v>
      </c>
      <c r="H27" s="335" t="s">
        <v>514</v>
      </c>
      <c r="I27" s="246">
        <v>30250</v>
      </c>
      <c r="J27" s="403">
        <v>951</v>
      </c>
      <c r="K27" s="403">
        <v>30250</v>
      </c>
      <c r="L27" s="403"/>
      <c r="M27" s="268" t="s">
        <v>1053</v>
      </c>
    </row>
    <row r="28" spans="1:13" ht="31" x14ac:dyDescent="0.35">
      <c r="A28" s="335" t="s">
        <v>533</v>
      </c>
      <c r="B28" s="404" t="s">
        <v>40</v>
      </c>
      <c r="C28" s="404" t="s">
        <v>669</v>
      </c>
      <c r="D28" s="246">
        <v>4</v>
      </c>
      <c r="E28" s="394">
        <v>62749</v>
      </c>
      <c r="F28" s="246" t="s">
        <v>519</v>
      </c>
      <c r="G28" s="401">
        <v>44314</v>
      </c>
      <c r="H28" s="335" t="s">
        <v>516</v>
      </c>
      <c r="I28" s="246">
        <v>62726.2</v>
      </c>
      <c r="J28" s="403">
        <v>1095</v>
      </c>
      <c r="K28" s="403">
        <v>62726.2</v>
      </c>
      <c r="L28" s="403"/>
      <c r="M28" s="268" t="s">
        <v>1053</v>
      </c>
    </row>
    <row r="29" spans="1:13" ht="31.5" customHeight="1" x14ac:dyDescent="0.35">
      <c r="A29" s="335" t="s">
        <v>753</v>
      </c>
      <c r="B29" s="404" t="s">
        <v>41</v>
      </c>
      <c r="C29" s="404" t="s">
        <v>669</v>
      </c>
      <c r="D29" s="399">
        <v>1</v>
      </c>
      <c r="E29" s="394">
        <v>13876</v>
      </c>
      <c r="F29" s="246" t="s">
        <v>749</v>
      </c>
      <c r="G29" s="400">
        <v>44322</v>
      </c>
      <c r="H29" s="246" t="s">
        <v>528</v>
      </c>
      <c r="I29" s="246">
        <v>13915</v>
      </c>
      <c r="J29" s="403">
        <v>1164</v>
      </c>
      <c r="K29" s="403">
        <v>13915</v>
      </c>
      <c r="L29" s="246"/>
      <c r="M29" s="268" t="s">
        <v>1053</v>
      </c>
    </row>
    <row r="30" spans="1:13" ht="28" x14ac:dyDescent="0.35">
      <c r="A30" s="335" t="s">
        <v>146</v>
      </c>
      <c r="B30" s="404" t="s">
        <v>42</v>
      </c>
      <c r="C30" s="404" t="s">
        <v>669</v>
      </c>
      <c r="D30" s="399">
        <v>1</v>
      </c>
      <c r="E30" s="394">
        <v>9635</v>
      </c>
      <c r="F30" s="246" t="s">
        <v>520</v>
      </c>
      <c r="G30" s="400">
        <v>44308</v>
      </c>
      <c r="H30" s="335" t="s">
        <v>517</v>
      </c>
      <c r="I30" s="456">
        <v>4393.51</v>
      </c>
      <c r="J30" s="403">
        <v>1079</v>
      </c>
      <c r="K30" s="406">
        <v>4393.51</v>
      </c>
      <c r="L30" s="406"/>
      <c r="M30" s="268" t="s">
        <v>1053</v>
      </c>
    </row>
    <row r="31" spans="1:13" ht="46.5" x14ac:dyDescent="0.35">
      <c r="A31" s="335" t="s">
        <v>758</v>
      </c>
      <c r="B31" s="398" t="s">
        <v>43</v>
      </c>
      <c r="C31" s="398" t="s">
        <v>669</v>
      </c>
      <c r="D31" s="399">
        <v>1</v>
      </c>
      <c r="E31" s="394">
        <v>9490</v>
      </c>
      <c r="F31" s="246" t="s">
        <v>750</v>
      </c>
      <c r="G31" s="400">
        <v>44330</v>
      </c>
      <c r="H31" s="246" t="s">
        <v>529</v>
      </c>
      <c r="I31" s="246">
        <v>11410.3</v>
      </c>
      <c r="J31" s="403">
        <v>1177</v>
      </c>
      <c r="K31" s="461">
        <v>11410.3</v>
      </c>
      <c r="L31" s="407"/>
      <c r="M31" s="268" t="s">
        <v>1053</v>
      </c>
    </row>
    <row r="32" spans="1:13" ht="28" x14ac:dyDescent="0.35">
      <c r="A32" s="455" t="s">
        <v>377</v>
      </c>
      <c r="B32" s="462" t="s">
        <v>466</v>
      </c>
      <c r="C32" s="462" t="s">
        <v>669</v>
      </c>
      <c r="D32" s="463">
        <v>4</v>
      </c>
      <c r="E32" s="347">
        <v>10551</v>
      </c>
      <c r="F32" s="464" t="s">
        <v>978</v>
      </c>
      <c r="G32" s="465">
        <v>44354</v>
      </c>
      <c r="H32" s="340" t="s">
        <v>518</v>
      </c>
      <c r="I32" s="464">
        <v>3920.4</v>
      </c>
      <c r="J32" s="466">
        <v>1465</v>
      </c>
      <c r="K32" s="466">
        <v>3920.4</v>
      </c>
      <c r="L32" s="455"/>
      <c r="M32" s="455"/>
    </row>
    <row r="33" spans="1:13" ht="46.5" x14ac:dyDescent="0.35">
      <c r="A33" s="340" t="s">
        <v>1083</v>
      </c>
      <c r="B33" s="462" t="s">
        <v>252</v>
      </c>
      <c r="C33" s="462" t="s">
        <v>669</v>
      </c>
      <c r="D33" s="463">
        <v>4</v>
      </c>
      <c r="E33" s="347">
        <v>10159</v>
      </c>
      <c r="F33" s="345" t="s">
        <v>977</v>
      </c>
      <c r="G33" s="346">
        <v>44379</v>
      </c>
      <c r="H33" s="345" t="s">
        <v>518</v>
      </c>
      <c r="I33" s="455">
        <v>8954</v>
      </c>
      <c r="J33" s="457">
        <v>1626</v>
      </c>
      <c r="K33" s="466">
        <v>8954</v>
      </c>
      <c r="L33" s="455"/>
      <c r="M33" s="455"/>
    </row>
    <row r="34" spans="1:13" ht="28" x14ac:dyDescent="0.35">
      <c r="A34" s="335" t="s">
        <v>534</v>
      </c>
      <c r="B34" s="398" t="s">
        <v>44</v>
      </c>
      <c r="C34" s="398" t="s">
        <v>669</v>
      </c>
      <c r="D34" s="399">
        <v>8</v>
      </c>
      <c r="E34" s="394">
        <v>33685</v>
      </c>
      <c r="F34" s="246" t="s">
        <v>748</v>
      </c>
      <c r="G34" s="400">
        <v>44322</v>
      </c>
      <c r="H34" s="335" t="s">
        <v>517</v>
      </c>
      <c r="I34" s="246">
        <v>6388.8</v>
      </c>
      <c r="J34" s="403">
        <v>1166</v>
      </c>
      <c r="K34" s="403">
        <v>6388.8</v>
      </c>
      <c r="L34" s="246"/>
      <c r="M34" s="268" t="s">
        <v>1053</v>
      </c>
    </row>
    <row r="35" spans="1:13" ht="28" x14ac:dyDescent="0.35">
      <c r="A35" s="335" t="s">
        <v>754</v>
      </c>
      <c r="B35" s="398" t="s">
        <v>45</v>
      </c>
      <c r="C35" s="398" t="s">
        <v>669</v>
      </c>
      <c r="D35" s="399">
        <v>4</v>
      </c>
      <c r="E35" s="394">
        <v>8273</v>
      </c>
      <c r="F35" s="335" t="s">
        <v>747</v>
      </c>
      <c r="G35" s="401">
        <v>44333</v>
      </c>
      <c r="H35" s="335" t="s">
        <v>516</v>
      </c>
      <c r="I35" s="246">
        <v>7937.6</v>
      </c>
      <c r="J35" s="403">
        <v>1244</v>
      </c>
      <c r="K35" s="403">
        <v>7937.6</v>
      </c>
      <c r="L35" s="246"/>
      <c r="M35" s="268" t="s">
        <v>1053</v>
      </c>
    </row>
    <row r="36" spans="1:13" ht="15.5" x14ac:dyDescent="0.35">
      <c r="A36" s="29"/>
      <c r="B36" s="55" t="s">
        <v>530</v>
      </c>
      <c r="C36" s="55" t="s">
        <v>669</v>
      </c>
      <c r="D36" s="176">
        <v>1</v>
      </c>
      <c r="E36" s="141">
        <v>1409</v>
      </c>
      <c r="F36" s="234"/>
      <c r="G36" s="234"/>
      <c r="H36" s="235"/>
      <c r="I36" s="234"/>
      <c r="J36" s="234"/>
      <c r="K36" s="234"/>
      <c r="L36" s="140"/>
      <c r="M36" s="139"/>
    </row>
    <row r="37" spans="1:13" ht="15.5" x14ac:dyDescent="0.35">
      <c r="A37" s="29"/>
      <c r="B37" s="55" t="s">
        <v>137</v>
      </c>
      <c r="C37" s="55" t="s">
        <v>669</v>
      </c>
      <c r="D37" s="176">
        <v>1</v>
      </c>
      <c r="E37" s="141">
        <v>1370</v>
      </c>
      <c r="F37" s="234"/>
      <c r="G37" s="234"/>
      <c r="H37" s="235"/>
      <c r="I37" s="234"/>
      <c r="J37" s="234"/>
      <c r="K37" s="234"/>
      <c r="L37" s="140"/>
      <c r="M37" s="139"/>
    </row>
    <row r="38" spans="1:13" ht="28" x14ac:dyDescent="0.35">
      <c r="A38" s="335" t="s">
        <v>755</v>
      </c>
      <c r="B38" s="398" t="s">
        <v>20</v>
      </c>
      <c r="C38" s="398" t="s">
        <v>669</v>
      </c>
      <c r="D38" s="402">
        <v>1</v>
      </c>
      <c r="E38" s="394">
        <v>1162</v>
      </c>
      <c r="F38" s="246" t="s">
        <v>748</v>
      </c>
      <c r="G38" s="400">
        <v>44322</v>
      </c>
      <c r="H38" s="335" t="s">
        <v>517</v>
      </c>
      <c r="I38" s="246">
        <v>828.85</v>
      </c>
      <c r="J38" s="403">
        <v>1166</v>
      </c>
      <c r="K38" s="403">
        <v>828.85</v>
      </c>
      <c r="L38" s="246"/>
      <c r="M38" s="268" t="s">
        <v>1053</v>
      </c>
    </row>
    <row r="39" spans="1:13" ht="31" x14ac:dyDescent="0.35">
      <c r="A39" s="335" t="s">
        <v>46</v>
      </c>
      <c r="B39" s="398" t="s">
        <v>46</v>
      </c>
      <c r="C39" s="398" t="s">
        <v>669</v>
      </c>
      <c r="D39" s="399">
        <v>1</v>
      </c>
      <c r="E39" s="394">
        <v>576</v>
      </c>
      <c r="F39" s="335" t="s">
        <v>526</v>
      </c>
      <c r="G39" s="401">
        <v>44314</v>
      </c>
      <c r="H39" s="335" t="s">
        <v>516</v>
      </c>
      <c r="I39" s="335">
        <v>961.95</v>
      </c>
      <c r="J39" s="410">
        <v>1094</v>
      </c>
      <c r="K39" s="410">
        <v>961.95</v>
      </c>
      <c r="L39" s="335"/>
      <c r="M39" s="268" t="s">
        <v>1053</v>
      </c>
    </row>
    <row r="40" spans="1:13" ht="20.25" customHeight="1" x14ac:dyDescent="0.35">
      <c r="A40" s="340" t="s">
        <v>1083</v>
      </c>
      <c r="B40" s="345" t="s">
        <v>531</v>
      </c>
      <c r="C40" s="345" t="s">
        <v>670</v>
      </c>
      <c r="D40" s="463">
        <v>10</v>
      </c>
      <c r="E40" s="347">
        <v>32670</v>
      </c>
      <c r="F40" s="345" t="s">
        <v>977</v>
      </c>
      <c r="G40" s="346">
        <v>44379</v>
      </c>
      <c r="H40" s="345" t="s">
        <v>518</v>
      </c>
      <c r="I40" s="455">
        <v>22385</v>
      </c>
      <c r="J40" s="457">
        <v>1626</v>
      </c>
      <c r="K40" s="466">
        <v>22385</v>
      </c>
      <c r="L40" s="455"/>
      <c r="M40" s="455"/>
    </row>
    <row r="41" spans="1:13" ht="16.5" customHeight="1" x14ac:dyDescent="0.35">
      <c r="A41" s="345" t="s">
        <v>532</v>
      </c>
      <c r="B41" s="345" t="s">
        <v>532</v>
      </c>
      <c r="C41" s="345" t="s">
        <v>670</v>
      </c>
      <c r="D41" s="463">
        <v>10</v>
      </c>
      <c r="E41" s="347">
        <v>4000</v>
      </c>
      <c r="F41" s="464" t="s">
        <v>976</v>
      </c>
      <c r="G41" s="465">
        <v>44355</v>
      </c>
      <c r="H41" s="340" t="s">
        <v>516</v>
      </c>
      <c r="I41" s="464">
        <v>3993</v>
      </c>
      <c r="J41" s="466">
        <v>1464</v>
      </c>
      <c r="K41" s="466">
        <v>3993</v>
      </c>
      <c r="L41" s="455"/>
      <c r="M41" s="455"/>
    </row>
    <row r="42" spans="1:13" ht="18" customHeight="1" x14ac:dyDescent="0.35">
      <c r="A42" s="335" t="s">
        <v>533</v>
      </c>
      <c r="B42" s="335" t="s">
        <v>533</v>
      </c>
      <c r="C42" s="335" t="s">
        <v>670</v>
      </c>
      <c r="D42" s="399">
        <v>5</v>
      </c>
      <c r="E42" s="394">
        <v>25000</v>
      </c>
      <c r="F42" s="246" t="s">
        <v>519</v>
      </c>
      <c r="G42" s="246"/>
      <c r="H42" s="335" t="s">
        <v>516</v>
      </c>
      <c r="I42" s="246">
        <v>24998.6</v>
      </c>
      <c r="J42" s="403">
        <v>1095</v>
      </c>
      <c r="K42" s="403">
        <v>24998.6</v>
      </c>
      <c r="L42" s="403"/>
      <c r="M42" s="268" t="s">
        <v>1053</v>
      </c>
    </row>
    <row r="43" spans="1:13" ht="28" x14ac:dyDescent="0.35">
      <c r="A43" s="335" t="s">
        <v>534</v>
      </c>
      <c r="B43" s="335" t="s">
        <v>534</v>
      </c>
      <c r="C43" s="335" t="s">
        <v>670</v>
      </c>
      <c r="D43" s="399">
        <v>10</v>
      </c>
      <c r="E43" s="394">
        <v>42106</v>
      </c>
      <c r="F43" s="246" t="s">
        <v>748</v>
      </c>
      <c r="G43" s="400">
        <v>44322</v>
      </c>
      <c r="H43" s="335" t="s">
        <v>517</v>
      </c>
      <c r="I43" s="246">
        <v>7986</v>
      </c>
      <c r="J43" s="403">
        <v>1166</v>
      </c>
      <c r="K43" s="403">
        <v>7986</v>
      </c>
      <c r="L43" s="246"/>
      <c r="M43" s="268" t="s">
        <v>1053</v>
      </c>
    </row>
    <row r="44" spans="1:13" ht="28" x14ac:dyDescent="0.35">
      <c r="A44" s="335" t="s">
        <v>756</v>
      </c>
      <c r="B44" s="335" t="s">
        <v>508</v>
      </c>
      <c r="C44" s="335" t="s">
        <v>670</v>
      </c>
      <c r="D44" s="399">
        <v>2</v>
      </c>
      <c r="E44" s="394">
        <v>1210</v>
      </c>
      <c r="F44" s="246" t="s">
        <v>751</v>
      </c>
      <c r="G44" s="400">
        <v>44328</v>
      </c>
      <c r="H44" s="246" t="s">
        <v>535</v>
      </c>
      <c r="I44" s="246">
        <v>2438.15</v>
      </c>
      <c r="J44" s="403">
        <v>1463</v>
      </c>
      <c r="K44" s="403">
        <v>2438.15</v>
      </c>
      <c r="L44" s="246"/>
      <c r="M44" s="268" t="s">
        <v>1053</v>
      </c>
    </row>
    <row r="46" spans="1:13" x14ac:dyDescent="0.35">
      <c r="A46" s="717"/>
      <c r="B46" s="717"/>
      <c r="C46" s="77"/>
    </row>
    <row r="47" spans="1:13" x14ac:dyDescent="0.35">
      <c r="A47" s="4"/>
      <c r="B47" s="4"/>
      <c r="C47" s="4"/>
    </row>
    <row r="48" spans="1:13" x14ac:dyDescent="0.35">
      <c r="A48" s="4"/>
      <c r="B48" s="4"/>
      <c r="C48" s="4"/>
    </row>
    <row r="49" spans="1:3" ht="16.5" customHeight="1" x14ac:dyDescent="0.35">
      <c r="A49" s="718"/>
      <c r="B49" s="718"/>
      <c r="C49" s="78"/>
    </row>
    <row r="50" spans="1:3" ht="16.5" customHeight="1" x14ac:dyDescent="0.35">
      <c r="A50" s="718"/>
      <c r="B50" s="718"/>
      <c r="C50" s="78"/>
    </row>
  </sheetData>
  <autoFilter ref="A6:M44" xr:uid="{AAC375FC-AFC5-454B-AE4C-B6266DDC4A93}"/>
  <mergeCells count="14">
    <mergeCell ref="C5:C6"/>
    <mergeCell ref="A46:B46"/>
    <mergeCell ref="A49:B49"/>
    <mergeCell ref="A50:B50"/>
    <mergeCell ref="A3:M3"/>
    <mergeCell ref="A4:E4"/>
    <mergeCell ref="F4:M4"/>
    <mergeCell ref="A5:A6"/>
    <mergeCell ref="B5:B6"/>
    <mergeCell ref="D5:D6"/>
    <mergeCell ref="E5:E6"/>
    <mergeCell ref="F5:I5"/>
    <mergeCell ref="M5:M6"/>
    <mergeCell ref="J5:L5"/>
  </mergeCells>
  <pageMargins left="0.7" right="0.7" top="0.75" bottom="0.75" header="0.3" footer="0.3"/>
  <pageSetup paperSize="9"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AF5A-75CC-49CA-8AB2-A0DD73F58B66}">
  <sheetPr>
    <tabColor rgb="FF00B0F0"/>
  </sheetPr>
  <dimension ref="A1:T81"/>
  <sheetViews>
    <sheetView view="pageBreakPreview" topLeftCell="B1" zoomScale="60" zoomScaleNormal="70" workbookViewId="0">
      <selection activeCell="G54" sqref="G54"/>
    </sheetView>
  </sheetViews>
  <sheetFormatPr defaultColWidth="9.1796875" defaultRowHeight="14" x14ac:dyDescent="0.35"/>
  <cols>
    <col min="1" max="1" width="13.81640625" style="4" hidden="1" customWidth="1"/>
    <col min="2" max="2" width="33.1796875" style="4" customWidth="1"/>
    <col min="3" max="3" width="35.54296875" style="4" customWidth="1"/>
    <col min="4" max="4" width="17.81640625" style="4" customWidth="1"/>
    <col min="5" max="5" width="11.54296875" style="4" customWidth="1"/>
    <col min="6" max="6" width="16.81640625" style="4" customWidth="1"/>
    <col min="7" max="7" width="16" style="4" customWidth="1"/>
    <col min="8" max="8" width="14.1796875" style="4" customWidth="1"/>
    <col min="9" max="9" width="21" style="4" customWidth="1"/>
    <col min="10" max="11" width="14.26953125" style="4" customWidth="1"/>
    <col min="12" max="12" width="14.54296875" style="4" customWidth="1"/>
    <col min="13" max="13" width="14.1796875" style="4" customWidth="1"/>
    <col min="14" max="14" width="84.54296875" style="4" customWidth="1"/>
    <col min="15" max="15" width="14.1796875" style="3" hidden="1" customWidth="1"/>
    <col min="16" max="18" width="10" style="4" hidden="1" customWidth="1"/>
    <col min="19" max="21" width="0" style="4" hidden="1" customWidth="1"/>
    <col min="22" max="16384" width="9.1796875" style="4"/>
  </cols>
  <sheetData>
    <row r="1" spans="1:20" ht="14.5" x14ac:dyDescent="0.35">
      <c r="B1" s="40"/>
      <c r="C1" s="40"/>
      <c r="D1" s="40"/>
      <c r="E1" s="40"/>
      <c r="F1" s="40"/>
      <c r="G1" s="40"/>
      <c r="H1" s="40"/>
      <c r="I1" s="40"/>
      <c r="J1" s="435"/>
      <c r="K1" s="436">
        <f>J10+J11+J12+J31+J34+J40+J42+J44+J45+J64+J65+J77</f>
        <v>6626.22</v>
      </c>
      <c r="L1" s="40"/>
      <c r="M1" s="40"/>
      <c r="N1" s="41"/>
      <c r="O1" s="142"/>
    </row>
    <row r="2" spans="1:20" ht="14.5" x14ac:dyDescent="0.35">
      <c r="B2" s="451" t="s">
        <v>253</v>
      </c>
      <c r="C2" s="40"/>
      <c r="D2" s="40"/>
      <c r="E2" s="40"/>
      <c r="F2" s="40"/>
      <c r="G2" s="147"/>
      <c r="H2" s="147"/>
      <c r="I2" s="147"/>
      <c r="J2" s="437"/>
      <c r="K2" s="147">
        <f>J18+J21+J22+J23+J24+J25+J27+J28+J32+J33+J37+J39+J41+J43+J49+J50+J58+J59+J68+J69+J70+J71+J75</f>
        <v>51620.02</v>
      </c>
      <c r="L2" s="147"/>
      <c r="M2" s="148"/>
      <c r="N2" s="149"/>
      <c r="O2" s="142"/>
    </row>
    <row r="3" spans="1:20" ht="14.5" x14ac:dyDescent="0.35">
      <c r="B3" s="40"/>
      <c r="C3" s="40"/>
      <c r="D3" s="40"/>
      <c r="E3" s="40"/>
      <c r="F3" s="40"/>
      <c r="G3" s="147"/>
      <c r="H3" s="147"/>
      <c r="I3" s="147"/>
      <c r="J3" s="438"/>
      <c r="K3" s="147">
        <f>J46+J47+J48+J51+J52+J53+J54+J55+J56+J57+J72+J73+J74</f>
        <v>226149.11</v>
      </c>
      <c r="L3" s="147"/>
      <c r="M3" s="150"/>
      <c r="N3" s="149"/>
      <c r="O3" s="142"/>
    </row>
    <row r="4" spans="1:20" ht="36.75" customHeight="1" x14ac:dyDescent="0.35">
      <c r="B4" s="724" t="s">
        <v>569</v>
      </c>
      <c r="C4" s="724"/>
      <c r="D4" s="724"/>
      <c r="E4" s="724"/>
      <c r="F4" s="725"/>
      <c r="G4" s="725"/>
      <c r="H4" s="725"/>
      <c r="I4" s="725"/>
      <c r="J4" s="725"/>
      <c r="K4" s="725"/>
      <c r="L4" s="725"/>
      <c r="M4" s="725"/>
      <c r="N4" s="726"/>
      <c r="O4" s="142"/>
    </row>
    <row r="5" spans="1:20" ht="35.25" customHeight="1" x14ac:dyDescent="0.35">
      <c r="B5" s="727" t="s">
        <v>567</v>
      </c>
      <c r="C5" s="728"/>
      <c r="D5" s="728"/>
      <c r="E5" s="728"/>
      <c r="F5" s="729"/>
      <c r="G5" s="727" t="s">
        <v>4</v>
      </c>
      <c r="H5" s="728"/>
      <c r="I5" s="728"/>
      <c r="J5" s="728"/>
      <c r="K5" s="728"/>
      <c r="L5" s="728"/>
      <c r="M5" s="728"/>
      <c r="N5" s="729"/>
      <c r="O5" s="142"/>
    </row>
    <row r="6" spans="1:20" ht="43.5" customHeight="1" x14ac:dyDescent="0.35">
      <c r="B6" s="590" t="s">
        <v>575</v>
      </c>
      <c r="C6" s="719" t="s">
        <v>19</v>
      </c>
      <c r="D6" s="590" t="s">
        <v>574</v>
      </c>
      <c r="E6" s="719" t="s">
        <v>6</v>
      </c>
      <c r="F6" s="719" t="s">
        <v>7</v>
      </c>
      <c r="G6" s="727" t="s">
        <v>568</v>
      </c>
      <c r="H6" s="728"/>
      <c r="I6" s="728"/>
      <c r="J6" s="729"/>
      <c r="K6" s="721" t="s">
        <v>571</v>
      </c>
      <c r="L6" s="722"/>
      <c r="M6" s="723"/>
      <c r="N6" s="719" t="s">
        <v>135</v>
      </c>
      <c r="O6" s="142"/>
    </row>
    <row r="7" spans="1:20" ht="67.5" customHeight="1" x14ac:dyDescent="0.35">
      <c r="A7" s="30" t="s">
        <v>254</v>
      </c>
      <c r="B7" s="591"/>
      <c r="C7" s="720"/>
      <c r="D7" s="591"/>
      <c r="E7" s="720"/>
      <c r="F7" s="720"/>
      <c r="G7" s="144" t="s">
        <v>8</v>
      </c>
      <c r="H7" s="144" t="s">
        <v>9</v>
      </c>
      <c r="I7" s="144" t="s">
        <v>10</v>
      </c>
      <c r="J7" s="144" t="s">
        <v>11</v>
      </c>
      <c r="K7" s="91" t="s">
        <v>659</v>
      </c>
      <c r="L7" s="104" t="s">
        <v>579</v>
      </c>
      <c r="M7" s="104" t="s">
        <v>573</v>
      </c>
      <c r="N7" s="720"/>
      <c r="O7" s="142" t="s">
        <v>783</v>
      </c>
    </row>
    <row r="8" spans="1:20" ht="39" customHeight="1" x14ac:dyDescent="0.35">
      <c r="A8" s="30"/>
      <c r="B8" s="43"/>
      <c r="C8" s="143"/>
      <c r="D8" s="143"/>
      <c r="E8" s="143"/>
      <c r="F8" s="145">
        <f>SUM(F9:F77)</f>
        <v>442979.3</v>
      </c>
      <c r="G8" s="143"/>
      <c r="H8" s="143"/>
      <c r="I8" s="143"/>
      <c r="J8" s="145">
        <f>SUM(J9:J77)</f>
        <v>284395.35000000003</v>
      </c>
      <c r="K8" s="143"/>
      <c r="L8" s="145">
        <f>SUM(L9:L77)</f>
        <v>284349.08</v>
      </c>
      <c r="M8" s="143"/>
      <c r="N8" s="143"/>
      <c r="O8" s="142"/>
      <c r="Q8" s="4">
        <v>2</v>
      </c>
      <c r="R8" s="4">
        <v>3</v>
      </c>
      <c r="S8" s="4">
        <v>4</v>
      </c>
      <c r="T8" s="4">
        <v>5</v>
      </c>
    </row>
    <row r="9" spans="1:20" ht="14.5" x14ac:dyDescent="0.35">
      <c r="A9" s="30" t="s">
        <v>255</v>
      </c>
      <c r="B9" s="42"/>
      <c r="C9" s="177" t="s">
        <v>256</v>
      </c>
      <c r="D9" s="177" t="s">
        <v>670</v>
      </c>
      <c r="E9" s="178">
        <v>1</v>
      </c>
      <c r="F9" s="179">
        <v>652</v>
      </c>
      <c r="G9" s="180"/>
      <c r="H9" s="180"/>
      <c r="I9" s="180"/>
      <c r="J9" s="181"/>
      <c r="K9" s="181"/>
      <c r="L9" s="181"/>
      <c r="M9" s="87"/>
      <c r="N9" s="181"/>
      <c r="O9" s="142">
        <f>F9-J9</f>
        <v>652</v>
      </c>
    </row>
    <row r="10" spans="1:20" ht="43.5" x14ac:dyDescent="0.35">
      <c r="A10" s="30" t="s">
        <v>257</v>
      </c>
      <c r="B10" s="420" t="s">
        <v>800</v>
      </c>
      <c r="C10" s="421" t="s">
        <v>258</v>
      </c>
      <c r="D10" s="421" t="s">
        <v>670</v>
      </c>
      <c r="E10" s="422">
        <v>3</v>
      </c>
      <c r="F10" s="423">
        <v>189</v>
      </c>
      <c r="G10" s="199">
        <v>390844961</v>
      </c>
      <c r="H10" s="199" t="s">
        <v>439</v>
      </c>
      <c r="I10" s="199" t="s">
        <v>259</v>
      </c>
      <c r="J10" s="198">
        <v>21.66</v>
      </c>
      <c r="K10" s="199">
        <v>3978</v>
      </c>
      <c r="L10" s="198">
        <v>21.66</v>
      </c>
      <c r="M10" s="424"/>
      <c r="N10" s="198" t="s">
        <v>782</v>
      </c>
      <c r="O10" s="142">
        <f>F10-J10</f>
        <v>167.34</v>
      </c>
      <c r="R10" s="4">
        <f>J10</f>
        <v>21.66</v>
      </c>
    </row>
    <row r="11" spans="1:20" ht="43.5" x14ac:dyDescent="0.35">
      <c r="A11" s="30"/>
      <c r="B11" s="420" t="s">
        <v>800</v>
      </c>
      <c r="C11" s="421" t="s">
        <v>258</v>
      </c>
      <c r="D11" s="421" t="s">
        <v>670</v>
      </c>
      <c r="E11" s="422"/>
      <c r="F11" s="423"/>
      <c r="G11" s="199">
        <v>391279498</v>
      </c>
      <c r="H11" s="199" t="s">
        <v>470</v>
      </c>
      <c r="I11" s="199" t="s">
        <v>259</v>
      </c>
      <c r="J11" s="198">
        <v>114.6</v>
      </c>
      <c r="K11" s="199">
        <v>216</v>
      </c>
      <c r="L11" s="198">
        <v>114.6</v>
      </c>
      <c r="M11" s="424"/>
      <c r="N11" s="198" t="s">
        <v>782</v>
      </c>
      <c r="O11" s="142"/>
      <c r="R11" s="4">
        <f>J11</f>
        <v>114.6</v>
      </c>
    </row>
    <row r="12" spans="1:20" ht="29" x14ac:dyDescent="0.35">
      <c r="A12" s="30" t="s">
        <v>260</v>
      </c>
      <c r="B12" s="420" t="s">
        <v>806</v>
      </c>
      <c r="C12" s="421" t="s">
        <v>261</v>
      </c>
      <c r="D12" s="421" t="s">
        <v>670</v>
      </c>
      <c r="E12" s="422">
        <v>1</v>
      </c>
      <c r="F12" s="423">
        <v>42</v>
      </c>
      <c r="G12" s="199" t="s">
        <v>262</v>
      </c>
      <c r="H12" s="199" t="s">
        <v>263</v>
      </c>
      <c r="I12" s="199" t="s">
        <v>264</v>
      </c>
      <c r="J12" s="198">
        <v>54.6</v>
      </c>
      <c r="K12" s="198">
        <v>380</v>
      </c>
      <c r="L12" s="198">
        <v>54.6</v>
      </c>
      <c r="M12" s="424"/>
      <c r="N12" s="198" t="s">
        <v>781</v>
      </c>
      <c r="O12" s="142">
        <f t="shared" ref="O12:O43" si="0">F12-J12</f>
        <v>-12.600000000000001</v>
      </c>
      <c r="Q12" s="4">
        <f>J12</f>
        <v>54.6</v>
      </c>
    </row>
    <row r="13" spans="1:20" ht="29" x14ac:dyDescent="0.35">
      <c r="A13" s="30" t="s">
        <v>265</v>
      </c>
      <c r="B13" s="42"/>
      <c r="C13" s="177" t="s">
        <v>266</v>
      </c>
      <c r="D13" s="177" t="s">
        <v>670</v>
      </c>
      <c r="E13" s="178">
        <v>1000</v>
      </c>
      <c r="F13" s="179">
        <v>210</v>
      </c>
      <c r="G13" s="180"/>
      <c r="H13" s="180"/>
      <c r="I13" s="180"/>
      <c r="J13" s="181"/>
      <c r="K13" s="181"/>
      <c r="L13" s="181"/>
      <c r="M13" s="87"/>
      <c r="N13" s="181"/>
      <c r="O13" s="142">
        <f t="shared" si="0"/>
        <v>210</v>
      </c>
    </row>
    <row r="14" spans="1:20" ht="14.5" x14ac:dyDescent="0.35">
      <c r="A14" s="30" t="s">
        <v>267</v>
      </c>
      <c r="B14" s="42"/>
      <c r="C14" s="177" t="s">
        <v>268</v>
      </c>
      <c r="D14" s="177" t="s">
        <v>670</v>
      </c>
      <c r="E14" s="178">
        <v>10</v>
      </c>
      <c r="F14" s="179">
        <v>63</v>
      </c>
      <c r="G14" s="180"/>
      <c r="H14" s="180"/>
      <c r="I14" s="180"/>
      <c r="J14" s="181"/>
      <c r="K14" s="181"/>
      <c r="L14" s="181"/>
      <c r="M14" s="87"/>
      <c r="N14" s="181"/>
      <c r="O14" s="142">
        <f t="shared" si="0"/>
        <v>63</v>
      </c>
    </row>
    <row r="15" spans="1:20" ht="14.5" x14ac:dyDescent="0.35">
      <c r="A15" s="30" t="s">
        <v>269</v>
      </c>
      <c r="B15" s="42"/>
      <c r="C15" s="177" t="s">
        <v>270</v>
      </c>
      <c r="D15" s="177" t="s">
        <v>670</v>
      </c>
      <c r="E15" s="178">
        <v>50</v>
      </c>
      <c r="F15" s="179">
        <v>157.5</v>
      </c>
      <c r="G15" s="182"/>
      <c r="H15" s="182"/>
      <c r="I15" s="182"/>
      <c r="J15" s="181"/>
      <c r="K15" s="182"/>
      <c r="L15" s="182"/>
      <c r="M15" s="87"/>
      <c r="N15" s="181"/>
      <c r="O15" s="142">
        <f t="shared" si="0"/>
        <v>157.5</v>
      </c>
    </row>
    <row r="16" spans="1:20" ht="14.5" x14ac:dyDescent="0.35">
      <c r="A16" s="30" t="s">
        <v>271</v>
      </c>
      <c r="B16" s="42"/>
      <c r="C16" s="177" t="s">
        <v>169</v>
      </c>
      <c r="D16" s="177" t="s">
        <v>670</v>
      </c>
      <c r="E16" s="178">
        <v>2</v>
      </c>
      <c r="F16" s="179">
        <v>504</v>
      </c>
      <c r="G16" s="180"/>
      <c r="H16" s="180"/>
      <c r="I16" s="180"/>
      <c r="J16" s="181"/>
      <c r="K16" s="180"/>
      <c r="L16" s="180"/>
      <c r="M16" s="87"/>
      <c r="N16" s="183"/>
      <c r="O16" s="142">
        <f t="shared" si="0"/>
        <v>504</v>
      </c>
    </row>
    <row r="17" spans="1:19" ht="43.5" x14ac:dyDescent="0.35">
      <c r="A17" s="30" t="s">
        <v>272</v>
      </c>
      <c r="B17" s="42"/>
      <c r="C17" s="177" t="s">
        <v>273</v>
      </c>
      <c r="D17" s="177" t="s">
        <v>670</v>
      </c>
      <c r="E17" s="178">
        <v>2</v>
      </c>
      <c r="F17" s="179">
        <v>11340</v>
      </c>
      <c r="G17" s="180"/>
      <c r="H17" s="180"/>
      <c r="I17" s="180"/>
      <c r="J17" s="181"/>
      <c r="K17" s="180"/>
      <c r="L17" s="180"/>
      <c r="M17" s="87"/>
      <c r="N17" s="183"/>
      <c r="O17" s="142">
        <f t="shared" si="0"/>
        <v>11340</v>
      </c>
    </row>
    <row r="18" spans="1:19" ht="33.75" customHeight="1" x14ac:dyDescent="0.35">
      <c r="A18" s="30" t="s">
        <v>274</v>
      </c>
      <c r="B18" s="411" t="s">
        <v>796</v>
      </c>
      <c r="C18" s="412" t="s">
        <v>275</v>
      </c>
      <c r="D18" s="412" t="s">
        <v>670</v>
      </c>
      <c r="E18" s="413">
        <v>1</v>
      </c>
      <c r="F18" s="414">
        <v>4620</v>
      </c>
      <c r="G18" s="415" t="s">
        <v>276</v>
      </c>
      <c r="H18" s="415" t="s">
        <v>277</v>
      </c>
      <c r="I18" s="415" t="s">
        <v>278</v>
      </c>
      <c r="J18" s="416">
        <v>3885</v>
      </c>
      <c r="K18" s="415">
        <v>833</v>
      </c>
      <c r="L18" s="415">
        <v>3885</v>
      </c>
      <c r="M18" s="246"/>
      <c r="N18" s="268" t="s">
        <v>1053</v>
      </c>
      <c r="O18" s="142">
        <f t="shared" si="0"/>
        <v>735</v>
      </c>
      <c r="R18" s="4">
        <f>J18</f>
        <v>3885</v>
      </c>
    </row>
    <row r="19" spans="1:19" ht="14.5" x14ac:dyDescent="0.35">
      <c r="A19" s="30" t="s">
        <v>279</v>
      </c>
      <c r="B19" s="42"/>
      <c r="C19" s="177" t="s">
        <v>280</v>
      </c>
      <c r="D19" s="177" t="s">
        <v>670</v>
      </c>
      <c r="E19" s="178">
        <v>8</v>
      </c>
      <c r="F19" s="179">
        <v>6720</v>
      </c>
      <c r="G19" s="180"/>
      <c r="H19" s="180"/>
      <c r="I19" s="180"/>
      <c r="J19" s="181"/>
      <c r="K19" s="180"/>
      <c r="L19" s="180"/>
      <c r="M19" s="87"/>
      <c r="N19" s="183"/>
      <c r="O19" s="142">
        <f t="shared" si="0"/>
        <v>6720</v>
      </c>
    </row>
    <row r="20" spans="1:19" ht="14.5" x14ac:dyDescent="0.35">
      <c r="A20" s="30" t="s">
        <v>281</v>
      </c>
      <c r="B20" s="42"/>
      <c r="C20" s="177" t="s">
        <v>282</v>
      </c>
      <c r="D20" s="177" t="s">
        <v>670</v>
      </c>
      <c r="E20" s="178">
        <v>2</v>
      </c>
      <c r="F20" s="179">
        <v>2100</v>
      </c>
      <c r="G20" s="180"/>
      <c r="H20" s="180"/>
      <c r="I20" s="180"/>
      <c r="J20" s="180"/>
      <c r="K20" s="180"/>
      <c r="L20" s="180"/>
      <c r="M20" s="87"/>
      <c r="N20" s="181"/>
      <c r="O20" s="142">
        <f t="shared" si="0"/>
        <v>2100</v>
      </c>
    </row>
    <row r="21" spans="1:19" ht="14.5" x14ac:dyDescent="0.35">
      <c r="A21" s="30" t="s">
        <v>283</v>
      </c>
      <c r="B21" s="411" t="s">
        <v>755</v>
      </c>
      <c r="C21" s="412" t="s">
        <v>87</v>
      </c>
      <c r="D21" s="412" t="s">
        <v>670</v>
      </c>
      <c r="E21" s="413">
        <v>24</v>
      </c>
      <c r="F21" s="414">
        <v>6048</v>
      </c>
      <c r="G21" s="415" t="s">
        <v>471</v>
      </c>
      <c r="H21" s="415" t="s">
        <v>472</v>
      </c>
      <c r="I21" s="415" t="s">
        <v>473</v>
      </c>
      <c r="J21" s="416">
        <v>4536</v>
      </c>
      <c r="K21" s="415">
        <v>1241</v>
      </c>
      <c r="L21" s="415">
        <v>4536</v>
      </c>
      <c r="M21" s="246"/>
      <c r="N21" s="268" t="s">
        <v>1053</v>
      </c>
      <c r="O21" s="142">
        <f t="shared" si="0"/>
        <v>1512</v>
      </c>
      <c r="S21" s="4">
        <f>L21</f>
        <v>4536</v>
      </c>
    </row>
    <row r="22" spans="1:19" ht="14.5" x14ac:dyDescent="0.35">
      <c r="A22" s="30" t="s">
        <v>284</v>
      </c>
      <c r="B22" s="411" t="s">
        <v>797</v>
      </c>
      <c r="C22" s="412" t="s">
        <v>86</v>
      </c>
      <c r="D22" s="412" t="s">
        <v>670</v>
      </c>
      <c r="E22" s="413">
        <v>14</v>
      </c>
      <c r="F22" s="414">
        <v>3528</v>
      </c>
      <c r="G22" s="415" t="s">
        <v>285</v>
      </c>
      <c r="H22" s="415" t="s">
        <v>286</v>
      </c>
      <c r="I22" s="415" t="s">
        <v>287</v>
      </c>
      <c r="J22" s="416">
        <v>2937.06</v>
      </c>
      <c r="K22" s="415">
        <v>621</v>
      </c>
      <c r="L22" s="415">
        <v>2937.06</v>
      </c>
      <c r="M22" s="246"/>
      <c r="N22" s="268" t="s">
        <v>1053</v>
      </c>
      <c r="O22" s="142">
        <f t="shared" si="0"/>
        <v>590.94000000000005</v>
      </c>
      <c r="R22" s="4">
        <f>J22</f>
        <v>2937.06</v>
      </c>
    </row>
    <row r="23" spans="1:19" ht="14.5" x14ac:dyDescent="0.35">
      <c r="A23" s="30" t="s">
        <v>288</v>
      </c>
      <c r="B23" s="411" t="s">
        <v>798</v>
      </c>
      <c r="C23" s="412" t="s">
        <v>289</v>
      </c>
      <c r="D23" s="412" t="s">
        <v>670</v>
      </c>
      <c r="E23" s="413">
        <v>3</v>
      </c>
      <c r="F23" s="417">
        <v>756</v>
      </c>
      <c r="G23" s="415" t="s">
        <v>285</v>
      </c>
      <c r="H23" s="415" t="s">
        <v>286</v>
      </c>
      <c r="I23" s="415" t="s">
        <v>287</v>
      </c>
      <c r="J23" s="416">
        <v>629.37</v>
      </c>
      <c r="K23" s="415">
        <v>621</v>
      </c>
      <c r="L23" s="415">
        <v>629.37</v>
      </c>
      <c r="M23" s="246"/>
      <c r="N23" s="268" t="s">
        <v>1053</v>
      </c>
      <c r="O23" s="142">
        <f t="shared" si="0"/>
        <v>126.63</v>
      </c>
      <c r="R23" s="4">
        <f>J23</f>
        <v>629.37</v>
      </c>
    </row>
    <row r="24" spans="1:19" ht="14.5" x14ac:dyDescent="0.35">
      <c r="A24" s="30" t="s">
        <v>290</v>
      </c>
      <c r="B24" s="411" t="s">
        <v>792</v>
      </c>
      <c r="C24" s="412" t="s">
        <v>289</v>
      </c>
      <c r="D24" s="412" t="s">
        <v>670</v>
      </c>
      <c r="E24" s="413">
        <v>3</v>
      </c>
      <c r="F24" s="417">
        <v>756</v>
      </c>
      <c r="G24" s="415" t="s">
        <v>471</v>
      </c>
      <c r="H24" s="415" t="s">
        <v>472</v>
      </c>
      <c r="I24" s="415" t="s">
        <v>473</v>
      </c>
      <c r="J24" s="416">
        <v>567</v>
      </c>
      <c r="K24" s="415">
        <v>1241</v>
      </c>
      <c r="L24" s="415">
        <v>567</v>
      </c>
      <c r="M24" s="246"/>
      <c r="N24" s="268" t="s">
        <v>1053</v>
      </c>
      <c r="O24" s="142">
        <f t="shared" si="0"/>
        <v>189</v>
      </c>
      <c r="S24" s="4">
        <f>L24</f>
        <v>567</v>
      </c>
    </row>
    <row r="25" spans="1:19" ht="14.5" x14ac:dyDescent="0.35">
      <c r="A25" s="30" t="s">
        <v>291</v>
      </c>
      <c r="B25" s="418" t="s">
        <v>292</v>
      </c>
      <c r="C25" s="412" t="s">
        <v>292</v>
      </c>
      <c r="D25" s="412" t="s">
        <v>670</v>
      </c>
      <c r="E25" s="413">
        <v>30</v>
      </c>
      <c r="F25" s="414">
        <v>315</v>
      </c>
      <c r="G25" s="415" t="s">
        <v>293</v>
      </c>
      <c r="H25" s="415" t="s">
        <v>294</v>
      </c>
      <c r="I25" s="415" t="s">
        <v>295</v>
      </c>
      <c r="J25" s="416">
        <v>270.89999999999998</v>
      </c>
      <c r="K25" s="415">
        <v>880</v>
      </c>
      <c r="L25" s="415">
        <v>270.89999999999998</v>
      </c>
      <c r="M25" s="246"/>
      <c r="N25" s="268" t="s">
        <v>1053</v>
      </c>
      <c r="O25" s="142">
        <f t="shared" si="0"/>
        <v>44.100000000000023</v>
      </c>
      <c r="R25" s="4">
        <f>J25</f>
        <v>270.89999999999998</v>
      </c>
    </row>
    <row r="26" spans="1:19" ht="14.5" x14ac:dyDescent="0.35">
      <c r="A26" s="30" t="s">
        <v>296</v>
      </c>
      <c r="B26" s="42"/>
      <c r="C26" s="177" t="s">
        <v>297</v>
      </c>
      <c r="D26" s="177" t="s">
        <v>670</v>
      </c>
      <c r="E26" s="178">
        <v>12</v>
      </c>
      <c r="F26" s="179">
        <v>604.79999999999995</v>
      </c>
      <c r="G26" s="180"/>
      <c r="H26" s="180"/>
      <c r="I26" s="180"/>
      <c r="J26" s="181"/>
      <c r="K26" s="180"/>
      <c r="L26" s="180"/>
      <c r="M26" s="87"/>
      <c r="N26" s="183"/>
      <c r="O26" s="142">
        <f t="shared" si="0"/>
        <v>604.79999999999995</v>
      </c>
    </row>
    <row r="27" spans="1:19" ht="14.5" x14ac:dyDescent="0.35">
      <c r="A27" s="30" t="s">
        <v>298</v>
      </c>
      <c r="B27" s="418" t="s">
        <v>299</v>
      </c>
      <c r="C27" s="412" t="s">
        <v>299</v>
      </c>
      <c r="D27" s="412" t="s">
        <v>670</v>
      </c>
      <c r="E27" s="413">
        <v>2</v>
      </c>
      <c r="F27" s="414">
        <v>294</v>
      </c>
      <c r="G27" s="415" t="s">
        <v>300</v>
      </c>
      <c r="H27" s="415" t="s">
        <v>301</v>
      </c>
      <c r="I27" s="415" t="s">
        <v>295</v>
      </c>
      <c r="J27" s="416">
        <v>268.8</v>
      </c>
      <c r="K27" s="415">
        <v>622</v>
      </c>
      <c r="L27" s="415">
        <v>268.8</v>
      </c>
      <c r="M27" s="246"/>
      <c r="N27" s="268" t="s">
        <v>1053</v>
      </c>
      <c r="O27" s="142">
        <f t="shared" si="0"/>
        <v>25.199999999999989</v>
      </c>
      <c r="R27" s="4">
        <f>J27</f>
        <v>268.8</v>
      </c>
    </row>
    <row r="28" spans="1:19" ht="14.5" x14ac:dyDescent="0.35">
      <c r="A28" s="30" t="s">
        <v>302</v>
      </c>
      <c r="B28" s="411" t="s">
        <v>711</v>
      </c>
      <c r="C28" s="412" t="s">
        <v>303</v>
      </c>
      <c r="D28" s="412" t="s">
        <v>670</v>
      </c>
      <c r="E28" s="413">
        <v>1</v>
      </c>
      <c r="F28" s="414">
        <v>693</v>
      </c>
      <c r="G28" s="415" t="s">
        <v>304</v>
      </c>
      <c r="H28" s="415" t="s">
        <v>305</v>
      </c>
      <c r="I28" s="415" t="s">
        <v>306</v>
      </c>
      <c r="J28" s="416">
        <v>692.58</v>
      </c>
      <c r="K28" s="415">
        <v>619</v>
      </c>
      <c r="L28" s="415">
        <v>692.58</v>
      </c>
      <c r="M28" s="246"/>
      <c r="N28" s="268" t="s">
        <v>1053</v>
      </c>
      <c r="O28" s="142">
        <f t="shared" si="0"/>
        <v>0.41999999999995907</v>
      </c>
      <c r="R28" s="4">
        <f>J28</f>
        <v>692.58</v>
      </c>
    </row>
    <row r="29" spans="1:19" ht="14.5" x14ac:dyDescent="0.35">
      <c r="A29" s="30" t="s">
        <v>307</v>
      </c>
      <c r="B29" s="42"/>
      <c r="C29" s="177" t="s">
        <v>308</v>
      </c>
      <c r="D29" s="177" t="s">
        <v>670</v>
      </c>
      <c r="E29" s="178">
        <v>1</v>
      </c>
      <c r="F29" s="179">
        <v>6300</v>
      </c>
      <c r="G29" s="180"/>
      <c r="H29" s="180"/>
      <c r="I29" s="180"/>
      <c r="J29" s="181"/>
      <c r="K29" s="180"/>
      <c r="L29" s="180"/>
      <c r="M29" s="87"/>
      <c r="N29" s="183"/>
      <c r="O29" s="142">
        <f t="shared" si="0"/>
        <v>6300</v>
      </c>
    </row>
    <row r="30" spans="1:19" ht="14.5" x14ac:dyDescent="0.35">
      <c r="A30" s="30" t="s">
        <v>309</v>
      </c>
      <c r="B30" s="42"/>
      <c r="C30" s="177" t="s">
        <v>310</v>
      </c>
      <c r="D30" s="177" t="s">
        <v>670</v>
      </c>
      <c r="E30" s="178">
        <v>1</v>
      </c>
      <c r="F30" s="179">
        <v>21000</v>
      </c>
      <c r="G30" s="180"/>
      <c r="H30" s="180"/>
      <c r="I30" s="180"/>
      <c r="J30" s="181"/>
      <c r="K30" s="180"/>
      <c r="L30" s="180"/>
      <c r="M30" s="87"/>
      <c r="N30" s="181"/>
      <c r="O30" s="142">
        <f t="shared" si="0"/>
        <v>21000</v>
      </c>
    </row>
    <row r="31" spans="1:19" ht="14.5" x14ac:dyDescent="0.35">
      <c r="A31" s="30" t="s">
        <v>311</v>
      </c>
      <c r="B31" s="420" t="s">
        <v>803</v>
      </c>
      <c r="C31" s="421" t="s">
        <v>312</v>
      </c>
      <c r="D31" s="421" t="s">
        <v>670</v>
      </c>
      <c r="E31" s="422">
        <v>50</v>
      </c>
      <c r="F31" s="423">
        <v>735</v>
      </c>
      <c r="G31" s="199" t="s">
        <v>313</v>
      </c>
      <c r="H31" s="199" t="s">
        <v>314</v>
      </c>
      <c r="I31" s="199" t="s">
        <v>306</v>
      </c>
      <c r="J31" s="198">
        <v>567</v>
      </c>
      <c r="K31" s="199">
        <v>560</v>
      </c>
      <c r="L31" s="199">
        <v>567</v>
      </c>
      <c r="M31" s="424"/>
      <c r="N31" s="198"/>
      <c r="O31" s="142">
        <f t="shared" si="0"/>
        <v>168</v>
      </c>
      <c r="R31" s="4">
        <f>J31</f>
        <v>567</v>
      </c>
    </row>
    <row r="32" spans="1:19" ht="14.5" x14ac:dyDescent="0.35">
      <c r="A32" s="30" t="s">
        <v>315</v>
      </c>
      <c r="B32" s="418" t="s">
        <v>316</v>
      </c>
      <c r="C32" s="412" t="s">
        <v>316</v>
      </c>
      <c r="D32" s="412" t="s">
        <v>670</v>
      </c>
      <c r="E32" s="413">
        <v>2</v>
      </c>
      <c r="F32" s="414">
        <v>714</v>
      </c>
      <c r="G32" s="415" t="s">
        <v>317</v>
      </c>
      <c r="H32" s="415" t="s">
        <v>76</v>
      </c>
      <c r="I32" s="415" t="s">
        <v>295</v>
      </c>
      <c r="J32" s="416">
        <v>617.4</v>
      </c>
      <c r="K32" s="415">
        <v>879</v>
      </c>
      <c r="L32" s="415">
        <v>617.4</v>
      </c>
      <c r="M32" s="246"/>
      <c r="N32" s="268" t="s">
        <v>1053</v>
      </c>
      <c r="O32" s="142">
        <f t="shared" si="0"/>
        <v>96.600000000000023</v>
      </c>
      <c r="R32" s="4">
        <f>J32</f>
        <v>617.4</v>
      </c>
    </row>
    <row r="33" spans="1:20" ht="29" x14ac:dyDescent="0.35">
      <c r="A33" s="30" t="s">
        <v>318</v>
      </c>
      <c r="B33" s="411" t="s">
        <v>805</v>
      </c>
      <c r="C33" s="419" t="s">
        <v>319</v>
      </c>
      <c r="D33" s="412" t="s">
        <v>670</v>
      </c>
      <c r="E33" s="413">
        <v>2</v>
      </c>
      <c r="F33" s="414">
        <v>2940</v>
      </c>
      <c r="G33" s="415">
        <v>1063016883</v>
      </c>
      <c r="H33" s="415" t="s">
        <v>320</v>
      </c>
      <c r="I33" s="415" t="s">
        <v>230</v>
      </c>
      <c r="J33" s="416">
        <v>2545.1999999999998</v>
      </c>
      <c r="K33" s="415">
        <v>662</v>
      </c>
      <c r="L33" s="415">
        <v>2545.1999999999998</v>
      </c>
      <c r="M33" s="246"/>
      <c r="N33" s="268" t="s">
        <v>1053</v>
      </c>
      <c r="O33" s="142">
        <f t="shared" si="0"/>
        <v>394.80000000000018</v>
      </c>
      <c r="R33" s="4">
        <f>J33</f>
        <v>2545.1999999999998</v>
      </c>
    </row>
    <row r="34" spans="1:20" ht="29" x14ac:dyDescent="0.35">
      <c r="A34" s="30" t="s">
        <v>321</v>
      </c>
      <c r="B34" s="420" t="s">
        <v>804</v>
      </c>
      <c r="C34" s="425" t="s">
        <v>322</v>
      </c>
      <c r="D34" s="421" t="s">
        <v>670</v>
      </c>
      <c r="E34" s="422">
        <v>1</v>
      </c>
      <c r="F34" s="423">
        <v>525</v>
      </c>
      <c r="G34" s="199" t="s">
        <v>323</v>
      </c>
      <c r="H34" s="199" t="s">
        <v>314</v>
      </c>
      <c r="I34" s="199" t="s">
        <v>306</v>
      </c>
      <c r="J34" s="198">
        <v>662.76</v>
      </c>
      <c r="K34" s="199">
        <v>559</v>
      </c>
      <c r="L34" s="199">
        <v>662.76</v>
      </c>
      <c r="M34" s="424"/>
      <c r="N34" s="198"/>
      <c r="O34" s="142">
        <f t="shared" si="0"/>
        <v>-137.76</v>
      </c>
      <c r="R34" s="4">
        <f>J34</f>
        <v>662.76</v>
      </c>
    </row>
    <row r="35" spans="1:20" ht="14.5" x14ac:dyDescent="0.35">
      <c r="A35" s="30" t="s">
        <v>324</v>
      </c>
      <c r="B35" s="42"/>
      <c r="C35" s="184" t="s">
        <v>325</v>
      </c>
      <c r="D35" s="177" t="s">
        <v>670</v>
      </c>
      <c r="E35" s="178">
        <v>1</v>
      </c>
      <c r="F35" s="179">
        <v>3150</v>
      </c>
      <c r="G35" s="180"/>
      <c r="H35" s="180"/>
      <c r="I35" s="180"/>
      <c r="J35" s="181"/>
      <c r="K35" s="180"/>
      <c r="L35" s="180"/>
      <c r="M35" s="87"/>
      <c r="N35" s="183"/>
      <c r="O35" s="142">
        <f t="shared" si="0"/>
        <v>3150</v>
      </c>
    </row>
    <row r="36" spans="1:20" ht="14.5" x14ac:dyDescent="0.35">
      <c r="A36" s="30" t="s">
        <v>326</v>
      </c>
      <c r="B36" s="42"/>
      <c r="C36" s="184" t="s">
        <v>327</v>
      </c>
      <c r="D36" s="177" t="s">
        <v>670</v>
      </c>
      <c r="E36" s="178">
        <v>2</v>
      </c>
      <c r="F36" s="179">
        <v>840</v>
      </c>
      <c r="G36" s="180"/>
      <c r="H36" s="180"/>
      <c r="I36" s="180"/>
      <c r="J36" s="181"/>
      <c r="K36" s="180"/>
      <c r="L36" s="180"/>
      <c r="M36" s="87"/>
      <c r="N36" s="183"/>
      <c r="O36" s="142">
        <f t="shared" si="0"/>
        <v>840</v>
      </c>
    </row>
    <row r="37" spans="1:20" ht="14.5" x14ac:dyDescent="0.35">
      <c r="A37" s="30" t="s">
        <v>328</v>
      </c>
      <c r="B37" s="411" t="s">
        <v>802</v>
      </c>
      <c r="C37" s="419" t="s">
        <v>329</v>
      </c>
      <c r="D37" s="412" t="s">
        <v>670</v>
      </c>
      <c r="E37" s="413">
        <v>2</v>
      </c>
      <c r="F37" s="414">
        <v>105</v>
      </c>
      <c r="G37" s="415" t="s">
        <v>330</v>
      </c>
      <c r="H37" s="415" t="s">
        <v>331</v>
      </c>
      <c r="I37" s="415" t="s">
        <v>306</v>
      </c>
      <c r="J37" s="416">
        <v>107.94</v>
      </c>
      <c r="K37" s="415">
        <v>832</v>
      </c>
      <c r="L37" s="415">
        <v>107.94</v>
      </c>
      <c r="M37" s="246"/>
      <c r="N37" s="268" t="s">
        <v>1053</v>
      </c>
      <c r="O37" s="142">
        <f t="shared" si="0"/>
        <v>-2.9399999999999977</v>
      </c>
      <c r="R37" s="4">
        <f>J37</f>
        <v>107.94</v>
      </c>
    </row>
    <row r="38" spans="1:20" ht="14.5" x14ac:dyDescent="0.35">
      <c r="A38" s="30" t="s">
        <v>332</v>
      </c>
      <c r="B38" s="42"/>
      <c r="C38" s="184" t="s">
        <v>333</v>
      </c>
      <c r="D38" s="177" t="s">
        <v>670</v>
      </c>
      <c r="E38" s="178">
        <v>1</v>
      </c>
      <c r="F38" s="179">
        <v>3150</v>
      </c>
      <c r="G38" s="182"/>
      <c r="H38" s="182"/>
      <c r="I38" s="182"/>
      <c r="J38" s="181"/>
      <c r="K38" s="182"/>
      <c r="L38" s="182"/>
      <c r="M38" s="87"/>
      <c r="N38" s="182"/>
      <c r="O38" s="142">
        <f t="shared" si="0"/>
        <v>3150</v>
      </c>
    </row>
    <row r="39" spans="1:20" ht="14.5" x14ac:dyDescent="0.35">
      <c r="A39" s="30" t="s">
        <v>334</v>
      </c>
      <c r="B39" s="411" t="s">
        <v>794</v>
      </c>
      <c r="C39" s="426" t="s">
        <v>335</v>
      </c>
      <c r="D39" s="412" t="s">
        <v>670</v>
      </c>
      <c r="E39" s="427">
        <v>1</v>
      </c>
      <c r="F39" s="428">
        <v>670</v>
      </c>
      <c r="G39" s="415" t="s">
        <v>474</v>
      </c>
      <c r="H39" s="415" t="s">
        <v>475</v>
      </c>
      <c r="I39" s="415" t="s">
        <v>476</v>
      </c>
      <c r="J39" s="415">
        <v>695.75</v>
      </c>
      <c r="K39" s="415">
        <v>1109</v>
      </c>
      <c r="L39" s="415">
        <v>695.75</v>
      </c>
      <c r="M39" s="246"/>
      <c r="N39" s="268" t="s">
        <v>1053</v>
      </c>
      <c r="O39" s="142">
        <f t="shared" si="0"/>
        <v>-25.75</v>
      </c>
      <c r="S39" s="4">
        <f>J39</f>
        <v>695.75</v>
      </c>
    </row>
    <row r="40" spans="1:20" ht="14.5" x14ac:dyDescent="0.35">
      <c r="A40" s="30" t="s">
        <v>336</v>
      </c>
      <c r="B40" s="420" t="s">
        <v>337</v>
      </c>
      <c r="C40" s="431" t="s">
        <v>337</v>
      </c>
      <c r="D40" s="421" t="s">
        <v>670</v>
      </c>
      <c r="E40" s="432">
        <v>2</v>
      </c>
      <c r="F40" s="433">
        <v>1140</v>
      </c>
      <c r="G40" s="199" t="s">
        <v>338</v>
      </c>
      <c r="H40" s="199" t="s">
        <v>339</v>
      </c>
      <c r="I40" s="199" t="s">
        <v>340</v>
      </c>
      <c r="J40" s="199">
        <v>1030.92</v>
      </c>
      <c r="K40" s="199">
        <v>201</v>
      </c>
      <c r="L40" s="199">
        <v>1030.92</v>
      </c>
      <c r="M40" s="424"/>
      <c r="N40" s="198"/>
      <c r="O40" s="142">
        <f t="shared" si="0"/>
        <v>109.07999999999993</v>
      </c>
      <c r="R40" s="4">
        <f>J40</f>
        <v>1030.92</v>
      </c>
    </row>
    <row r="41" spans="1:20" ht="14.5" x14ac:dyDescent="0.35">
      <c r="A41" s="30" t="s">
        <v>341</v>
      </c>
      <c r="B41" s="411" t="s">
        <v>789</v>
      </c>
      <c r="C41" s="426" t="s">
        <v>342</v>
      </c>
      <c r="D41" s="412" t="s">
        <v>670</v>
      </c>
      <c r="E41" s="427">
        <v>1</v>
      </c>
      <c r="F41" s="428">
        <v>328</v>
      </c>
      <c r="G41" s="415" t="s">
        <v>780</v>
      </c>
      <c r="H41" s="415" t="s">
        <v>779</v>
      </c>
      <c r="I41" s="415" t="s">
        <v>778</v>
      </c>
      <c r="J41" s="415">
        <v>338.86</v>
      </c>
      <c r="K41" s="416">
        <v>1369</v>
      </c>
      <c r="L41" s="415">
        <v>338.86</v>
      </c>
      <c r="M41" s="246"/>
      <c r="N41" s="268" t="s">
        <v>1053</v>
      </c>
      <c r="O41" s="142">
        <f t="shared" si="0"/>
        <v>-10.860000000000014</v>
      </c>
      <c r="T41" s="4">
        <v>338.86</v>
      </c>
    </row>
    <row r="42" spans="1:20" ht="14.5" x14ac:dyDescent="0.35">
      <c r="A42" s="30" t="s">
        <v>343</v>
      </c>
      <c r="B42" s="420" t="s">
        <v>799</v>
      </c>
      <c r="C42" s="431" t="s">
        <v>344</v>
      </c>
      <c r="D42" s="421" t="s">
        <v>670</v>
      </c>
      <c r="E42" s="432">
        <v>1</v>
      </c>
      <c r="F42" s="433">
        <v>424</v>
      </c>
      <c r="G42" s="199" t="s">
        <v>345</v>
      </c>
      <c r="H42" s="199" t="s">
        <v>339</v>
      </c>
      <c r="I42" s="199" t="s">
        <v>346</v>
      </c>
      <c r="J42" s="198">
        <v>269.83</v>
      </c>
      <c r="K42" s="198">
        <v>207</v>
      </c>
      <c r="L42" s="199">
        <v>269.83</v>
      </c>
      <c r="M42" s="424"/>
      <c r="N42" s="198"/>
      <c r="O42" s="142">
        <f t="shared" si="0"/>
        <v>154.17000000000002</v>
      </c>
      <c r="R42" s="4">
        <f>J42</f>
        <v>269.83</v>
      </c>
    </row>
    <row r="43" spans="1:20" ht="29" x14ac:dyDescent="0.35">
      <c r="A43" s="30" t="s">
        <v>347</v>
      </c>
      <c r="B43" s="411" t="s">
        <v>785</v>
      </c>
      <c r="C43" s="426" t="s">
        <v>348</v>
      </c>
      <c r="D43" s="412" t="s">
        <v>670</v>
      </c>
      <c r="E43" s="427">
        <v>1</v>
      </c>
      <c r="F43" s="428">
        <v>50</v>
      </c>
      <c r="G43" s="415" t="s">
        <v>349</v>
      </c>
      <c r="H43" s="415" t="s">
        <v>350</v>
      </c>
      <c r="I43" s="415" t="s">
        <v>351</v>
      </c>
      <c r="J43" s="416">
        <v>46.27</v>
      </c>
      <c r="K43" s="429"/>
      <c r="L43" s="415"/>
      <c r="M43" s="246"/>
      <c r="N43" s="268" t="s">
        <v>1053</v>
      </c>
      <c r="O43" s="142">
        <f t="shared" si="0"/>
        <v>3.7299999999999969</v>
      </c>
    </row>
    <row r="44" spans="1:20" ht="14.5" x14ac:dyDescent="0.35">
      <c r="A44" s="30" t="s">
        <v>352</v>
      </c>
      <c r="B44" s="420" t="s">
        <v>801</v>
      </c>
      <c r="C44" s="431" t="s">
        <v>353</v>
      </c>
      <c r="D44" s="421" t="s">
        <v>670</v>
      </c>
      <c r="E44" s="432">
        <v>3</v>
      </c>
      <c r="F44" s="433">
        <v>66</v>
      </c>
      <c r="G44" s="199" t="s">
        <v>354</v>
      </c>
      <c r="H44" s="199" t="s">
        <v>355</v>
      </c>
      <c r="I44" s="199" t="s">
        <v>351</v>
      </c>
      <c r="J44" s="199">
        <v>63.72</v>
      </c>
      <c r="K44" s="198">
        <v>198</v>
      </c>
      <c r="L44" s="199">
        <v>63.72</v>
      </c>
      <c r="M44" s="424"/>
      <c r="N44" s="198"/>
      <c r="O44" s="142">
        <f t="shared" ref="O44:O77" si="1">F44-J44</f>
        <v>2.2800000000000011</v>
      </c>
      <c r="R44" s="4">
        <f>J44</f>
        <v>63.72</v>
      </c>
    </row>
    <row r="45" spans="1:20" ht="29" x14ac:dyDescent="0.35">
      <c r="A45" s="30" t="s">
        <v>356</v>
      </c>
      <c r="B45" s="434" t="s">
        <v>795</v>
      </c>
      <c r="C45" s="431" t="s">
        <v>357</v>
      </c>
      <c r="D45" s="421" t="s">
        <v>670</v>
      </c>
      <c r="E45" s="432">
        <v>15</v>
      </c>
      <c r="F45" s="433">
        <v>5100</v>
      </c>
      <c r="G45" s="199">
        <v>100407</v>
      </c>
      <c r="H45" s="199" t="s">
        <v>358</v>
      </c>
      <c r="I45" s="199" t="s">
        <v>359</v>
      </c>
      <c r="J45" s="199">
        <v>2286.17</v>
      </c>
      <c r="K45" s="199">
        <v>304</v>
      </c>
      <c r="L45" s="199">
        <v>2286.17</v>
      </c>
      <c r="M45" s="424"/>
      <c r="N45" s="198"/>
      <c r="O45" s="142">
        <f t="shared" si="1"/>
        <v>2813.83</v>
      </c>
      <c r="R45" s="4">
        <f>J45</f>
        <v>2286.17</v>
      </c>
    </row>
    <row r="46" spans="1:20" ht="14.5" x14ac:dyDescent="0.35">
      <c r="A46" s="30" t="s">
        <v>360</v>
      </c>
      <c r="B46" s="442" t="s">
        <v>1090</v>
      </c>
      <c r="C46" s="443" t="s">
        <v>361</v>
      </c>
      <c r="D46" s="444" t="s">
        <v>670</v>
      </c>
      <c r="E46" s="445">
        <v>2</v>
      </c>
      <c r="F46" s="446">
        <v>10000</v>
      </c>
      <c r="G46" s="447" t="s">
        <v>999</v>
      </c>
      <c r="H46" s="447" t="s">
        <v>998</v>
      </c>
      <c r="I46" s="447" t="s">
        <v>473</v>
      </c>
      <c r="J46" s="447">
        <v>7623</v>
      </c>
      <c r="K46" s="447">
        <v>1791</v>
      </c>
      <c r="L46" s="447">
        <v>7623</v>
      </c>
      <c r="M46" s="249"/>
      <c r="N46" s="448"/>
      <c r="O46" s="142">
        <f t="shared" si="1"/>
        <v>2377</v>
      </c>
    </row>
    <row r="47" spans="1:20" ht="29" x14ac:dyDescent="0.35">
      <c r="A47" s="30" t="s">
        <v>362</v>
      </c>
      <c r="B47" s="443" t="s">
        <v>146</v>
      </c>
      <c r="C47" s="443" t="s">
        <v>146</v>
      </c>
      <c r="D47" s="444" t="s">
        <v>670</v>
      </c>
      <c r="E47" s="445">
        <v>1</v>
      </c>
      <c r="F47" s="446">
        <v>6000</v>
      </c>
      <c r="G47" s="447" t="s">
        <v>997</v>
      </c>
      <c r="H47" s="447" t="s">
        <v>996</v>
      </c>
      <c r="I47" s="447" t="s">
        <v>278</v>
      </c>
      <c r="J47" s="447">
        <v>7579.44</v>
      </c>
      <c r="K47" s="442">
        <v>2142</v>
      </c>
      <c r="L47" s="442">
        <v>7579.44</v>
      </c>
      <c r="M47" s="249"/>
      <c r="N47" s="448"/>
      <c r="O47" s="142">
        <f t="shared" si="1"/>
        <v>-1579.4399999999996</v>
      </c>
    </row>
    <row r="48" spans="1:20" ht="14.5" x14ac:dyDescent="0.35">
      <c r="A48" s="30" t="s">
        <v>363</v>
      </c>
      <c r="B48" s="443" t="s">
        <v>364</v>
      </c>
      <c r="C48" s="443" t="s">
        <v>364</v>
      </c>
      <c r="D48" s="444" t="s">
        <v>670</v>
      </c>
      <c r="E48" s="445">
        <v>1</v>
      </c>
      <c r="F48" s="446">
        <v>30000</v>
      </c>
      <c r="G48" s="447" t="s">
        <v>995</v>
      </c>
      <c r="H48" s="447" t="s">
        <v>982</v>
      </c>
      <c r="I48" s="447" t="s">
        <v>473</v>
      </c>
      <c r="J48" s="447">
        <v>27830</v>
      </c>
      <c r="K48" s="447">
        <v>1791</v>
      </c>
      <c r="L48" s="447">
        <v>27830</v>
      </c>
      <c r="M48" s="249"/>
      <c r="N48" s="448"/>
      <c r="O48" s="142">
        <f t="shared" si="1"/>
        <v>2170</v>
      </c>
    </row>
    <row r="49" spans="1:19" ht="14.5" x14ac:dyDescent="0.35">
      <c r="A49" s="30" t="s">
        <v>365</v>
      </c>
      <c r="B49" s="430" t="s">
        <v>366</v>
      </c>
      <c r="C49" s="426" t="s">
        <v>366</v>
      </c>
      <c r="D49" s="412" t="s">
        <v>670</v>
      </c>
      <c r="E49" s="427">
        <v>2</v>
      </c>
      <c r="F49" s="428">
        <v>1460</v>
      </c>
      <c r="G49" s="415" t="s">
        <v>777</v>
      </c>
      <c r="H49" s="415" t="s">
        <v>776</v>
      </c>
      <c r="I49" s="415" t="s">
        <v>774</v>
      </c>
      <c r="J49" s="415">
        <v>822.8</v>
      </c>
      <c r="K49" s="429">
        <v>1689</v>
      </c>
      <c r="L49" s="429">
        <v>822.8</v>
      </c>
      <c r="M49" s="429"/>
      <c r="N49" s="268" t="s">
        <v>1053</v>
      </c>
      <c r="O49" s="142">
        <f t="shared" si="1"/>
        <v>637.20000000000005</v>
      </c>
    </row>
    <row r="50" spans="1:19" ht="29" x14ac:dyDescent="0.35">
      <c r="A50" s="30" t="s">
        <v>367</v>
      </c>
      <c r="B50" s="411" t="s">
        <v>786</v>
      </c>
      <c r="C50" s="426" t="s">
        <v>368</v>
      </c>
      <c r="D50" s="412" t="s">
        <v>670</v>
      </c>
      <c r="E50" s="427">
        <v>1</v>
      </c>
      <c r="F50" s="428">
        <v>10000</v>
      </c>
      <c r="G50" s="415" t="s">
        <v>775</v>
      </c>
      <c r="H50" s="415" t="s">
        <v>765</v>
      </c>
      <c r="I50" s="415" t="s">
        <v>774</v>
      </c>
      <c r="J50" s="429">
        <v>5989.5</v>
      </c>
      <c r="K50" s="429">
        <v>1689</v>
      </c>
      <c r="L50" s="429">
        <v>5989.5</v>
      </c>
      <c r="M50" s="246"/>
      <c r="N50" s="268" t="s">
        <v>1053</v>
      </c>
      <c r="O50" s="142">
        <f t="shared" si="1"/>
        <v>4010.5</v>
      </c>
    </row>
    <row r="51" spans="1:19" ht="14.5" x14ac:dyDescent="0.35">
      <c r="A51" s="30" t="s">
        <v>369</v>
      </c>
      <c r="B51" s="562" t="s">
        <v>1088</v>
      </c>
      <c r="C51" s="443" t="s">
        <v>370</v>
      </c>
      <c r="D51" s="444" t="s">
        <v>670</v>
      </c>
      <c r="E51" s="445">
        <v>50</v>
      </c>
      <c r="F51" s="446">
        <v>25000</v>
      </c>
      <c r="G51" s="447" t="s">
        <v>994</v>
      </c>
      <c r="H51" s="447" t="s">
        <v>993</v>
      </c>
      <c r="I51" s="447" t="s">
        <v>992</v>
      </c>
      <c r="J51" s="447">
        <v>16940</v>
      </c>
      <c r="K51" s="449">
        <v>2144</v>
      </c>
      <c r="L51" s="449">
        <v>16940</v>
      </c>
      <c r="M51" s="249"/>
      <c r="N51" s="448"/>
      <c r="O51" s="142">
        <f t="shared" si="1"/>
        <v>8060</v>
      </c>
    </row>
    <row r="52" spans="1:19" ht="29" x14ac:dyDescent="0.35">
      <c r="A52" s="30" t="s">
        <v>371</v>
      </c>
      <c r="B52" s="442" t="s">
        <v>1086</v>
      </c>
      <c r="C52" s="443" t="s">
        <v>372</v>
      </c>
      <c r="D52" s="444" t="s">
        <v>670</v>
      </c>
      <c r="E52" s="445">
        <v>10</v>
      </c>
      <c r="F52" s="446">
        <v>35000</v>
      </c>
      <c r="G52" s="447" t="s">
        <v>991</v>
      </c>
      <c r="H52" s="447" t="s">
        <v>990</v>
      </c>
      <c r="I52" s="447" t="s">
        <v>278</v>
      </c>
      <c r="J52" s="447">
        <v>30274.2</v>
      </c>
      <c r="K52" s="447">
        <v>2142</v>
      </c>
      <c r="L52" s="447">
        <v>30274.2</v>
      </c>
      <c r="M52" s="249"/>
      <c r="N52" s="448"/>
      <c r="O52" s="142">
        <f t="shared" si="1"/>
        <v>4725.7999999999993</v>
      </c>
    </row>
    <row r="53" spans="1:19" ht="29" x14ac:dyDescent="0.35">
      <c r="A53" s="30" t="s">
        <v>373</v>
      </c>
      <c r="B53" s="442" t="s">
        <v>1087</v>
      </c>
      <c r="C53" s="443" t="s">
        <v>372</v>
      </c>
      <c r="D53" s="444" t="s">
        <v>670</v>
      </c>
      <c r="E53" s="445">
        <v>40</v>
      </c>
      <c r="F53" s="446">
        <v>100000</v>
      </c>
      <c r="G53" s="447" t="s">
        <v>991</v>
      </c>
      <c r="H53" s="447" t="s">
        <v>990</v>
      </c>
      <c r="I53" s="447" t="s">
        <v>278</v>
      </c>
      <c r="J53" s="447">
        <v>103576</v>
      </c>
      <c r="K53" s="447">
        <v>2142</v>
      </c>
      <c r="L53" s="447">
        <v>103576</v>
      </c>
      <c r="M53" s="249"/>
      <c r="N53" s="448"/>
      <c r="O53" s="142">
        <f t="shared" si="1"/>
        <v>-3576</v>
      </c>
    </row>
    <row r="54" spans="1:19" ht="29" x14ac:dyDescent="0.35">
      <c r="A54" s="30" t="s">
        <v>374</v>
      </c>
      <c r="B54" s="443" t="s">
        <v>375</v>
      </c>
      <c r="C54" s="443" t="s">
        <v>375</v>
      </c>
      <c r="D54" s="444" t="s">
        <v>670</v>
      </c>
      <c r="E54" s="445">
        <v>50</v>
      </c>
      <c r="F54" s="446">
        <v>15000</v>
      </c>
      <c r="G54" s="447" t="s">
        <v>991</v>
      </c>
      <c r="H54" s="447" t="s">
        <v>990</v>
      </c>
      <c r="I54" s="447" t="s">
        <v>278</v>
      </c>
      <c r="J54" s="447">
        <v>9680</v>
      </c>
      <c r="K54" s="447">
        <v>2143</v>
      </c>
      <c r="L54" s="447">
        <v>9680</v>
      </c>
      <c r="M54" s="249"/>
      <c r="N54" s="448"/>
      <c r="O54" s="142">
        <f t="shared" si="1"/>
        <v>5320</v>
      </c>
    </row>
    <row r="55" spans="1:19" ht="14.5" x14ac:dyDescent="0.35">
      <c r="A55" s="30" t="s">
        <v>376</v>
      </c>
      <c r="B55" s="443" t="s">
        <v>377</v>
      </c>
      <c r="C55" s="443" t="s">
        <v>377</v>
      </c>
      <c r="D55" s="444" t="s">
        <v>670</v>
      </c>
      <c r="E55" s="445">
        <v>10</v>
      </c>
      <c r="F55" s="446">
        <v>13000</v>
      </c>
      <c r="G55" s="447" t="s">
        <v>989</v>
      </c>
      <c r="H55" s="447" t="s">
        <v>988</v>
      </c>
      <c r="I55" s="447" t="s">
        <v>306</v>
      </c>
      <c r="J55" s="447">
        <v>9317</v>
      </c>
      <c r="K55" s="447">
        <v>2509</v>
      </c>
      <c r="L55" s="447">
        <v>9317</v>
      </c>
      <c r="M55" s="249"/>
      <c r="N55" s="448"/>
      <c r="O55" s="142">
        <f t="shared" si="1"/>
        <v>3683</v>
      </c>
    </row>
    <row r="56" spans="1:19" ht="14.5" x14ac:dyDescent="0.35">
      <c r="A56" s="30" t="s">
        <v>378</v>
      </c>
      <c r="B56" s="443" t="s">
        <v>379</v>
      </c>
      <c r="C56" s="443" t="s">
        <v>379</v>
      </c>
      <c r="D56" s="444" t="s">
        <v>670</v>
      </c>
      <c r="E56" s="445">
        <v>1</v>
      </c>
      <c r="F56" s="446">
        <v>2500</v>
      </c>
      <c r="G56" s="447" t="s">
        <v>987</v>
      </c>
      <c r="H56" s="447" t="s">
        <v>986</v>
      </c>
      <c r="I56" s="447" t="s">
        <v>929</v>
      </c>
      <c r="J56" s="447">
        <v>1712.15</v>
      </c>
      <c r="K56" s="447">
        <v>1881</v>
      </c>
      <c r="L56" s="447">
        <v>1712.15</v>
      </c>
      <c r="M56" s="249"/>
      <c r="N56" s="448"/>
      <c r="O56" s="142">
        <f t="shared" si="1"/>
        <v>787.84999999999991</v>
      </c>
    </row>
    <row r="57" spans="1:19" ht="14.5" x14ac:dyDescent="0.35">
      <c r="A57" s="30" t="s">
        <v>380</v>
      </c>
      <c r="B57" s="443" t="s">
        <v>381</v>
      </c>
      <c r="C57" s="443" t="s">
        <v>381</v>
      </c>
      <c r="D57" s="444" t="s">
        <v>670</v>
      </c>
      <c r="E57" s="445">
        <v>1</v>
      </c>
      <c r="F57" s="446">
        <v>16940</v>
      </c>
      <c r="G57" s="447" t="s">
        <v>985</v>
      </c>
      <c r="H57" s="447" t="s">
        <v>984</v>
      </c>
      <c r="I57" s="447" t="s">
        <v>295</v>
      </c>
      <c r="J57" s="447">
        <v>7865</v>
      </c>
      <c r="K57" s="447">
        <v>1880</v>
      </c>
      <c r="L57" s="447">
        <v>7865</v>
      </c>
      <c r="M57" s="249"/>
      <c r="N57" s="448"/>
      <c r="O57" s="142">
        <f t="shared" si="1"/>
        <v>9075</v>
      </c>
    </row>
    <row r="58" spans="1:19" ht="29" x14ac:dyDescent="0.35">
      <c r="A58" s="30" t="s">
        <v>382</v>
      </c>
      <c r="B58" s="411" t="s">
        <v>787</v>
      </c>
      <c r="C58" s="426" t="s">
        <v>383</v>
      </c>
      <c r="D58" s="412" t="s">
        <v>670</v>
      </c>
      <c r="E58" s="427">
        <v>1</v>
      </c>
      <c r="F58" s="428">
        <v>15730</v>
      </c>
      <c r="G58" s="415" t="s">
        <v>773</v>
      </c>
      <c r="H58" s="415" t="s">
        <v>772</v>
      </c>
      <c r="I58" s="415" t="s">
        <v>771</v>
      </c>
      <c r="J58" s="416">
        <v>15112.9</v>
      </c>
      <c r="K58" s="429">
        <v>1693</v>
      </c>
      <c r="L58" s="429">
        <v>15112.9</v>
      </c>
      <c r="M58" s="246"/>
      <c r="N58" s="268" t="s">
        <v>1053</v>
      </c>
      <c r="O58" s="142">
        <f t="shared" si="1"/>
        <v>617.10000000000036</v>
      </c>
    </row>
    <row r="59" spans="1:19" ht="29" x14ac:dyDescent="0.35">
      <c r="A59" s="30" t="s">
        <v>384</v>
      </c>
      <c r="B59" s="411" t="s">
        <v>787</v>
      </c>
      <c r="C59" s="426" t="s">
        <v>383</v>
      </c>
      <c r="D59" s="412" t="s">
        <v>670</v>
      </c>
      <c r="E59" s="427">
        <v>2</v>
      </c>
      <c r="F59" s="428">
        <v>5000</v>
      </c>
      <c r="G59" s="415" t="s">
        <v>773</v>
      </c>
      <c r="H59" s="415" t="s">
        <v>772</v>
      </c>
      <c r="I59" s="415" t="s">
        <v>771</v>
      </c>
      <c r="J59" s="416">
        <v>4815.8</v>
      </c>
      <c r="K59" s="429">
        <v>1693</v>
      </c>
      <c r="L59" s="429">
        <v>4815.8</v>
      </c>
      <c r="M59" s="246"/>
      <c r="N59" s="268" t="s">
        <v>1053</v>
      </c>
      <c r="O59" s="142">
        <f t="shared" si="1"/>
        <v>184.19999999999982</v>
      </c>
    </row>
    <row r="60" spans="1:19" ht="14.5" x14ac:dyDescent="0.35">
      <c r="A60" s="30" t="s">
        <v>385</v>
      </c>
      <c r="B60" s="42"/>
      <c r="C60" s="185" t="s">
        <v>386</v>
      </c>
      <c r="D60" s="177" t="s">
        <v>670</v>
      </c>
      <c r="E60" s="186">
        <v>1</v>
      </c>
      <c r="F60" s="187">
        <v>2500</v>
      </c>
      <c r="G60" s="182"/>
      <c r="H60" s="182"/>
      <c r="I60" s="182"/>
      <c r="J60" s="182"/>
      <c r="K60" s="182"/>
      <c r="L60" s="182"/>
      <c r="M60" s="87"/>
      <c r="N60" s="182"/>
      <c r="O60" s="142">
        <f t="shared" si="1"/>
        <v>2500</v>
      </c>
    </row>
    <row r="61" spans="1:19" ht="14.5" x14ac:dyDescent="0.35">
      <c r="A61" s="30" t="s">
        <v>387</v>
      </c>
      <c r="B61" s="42"/>
      <c r="C61" s="185" t="s">
        <v>388</v>
      </c>
      <c r="D61" s="177" t="s">
        <v>670</v>
      </c>
      <c r="E61" s="186">
        <v>2</v>
      </c>
      <c r="F61" s="187">
        <v>80</v>
      </c>
      <c r="G61" s="182"/>
      <c r="H61" s="182"/>
      <c r="I61" s="182"/>
      <c r="J61" s="182"/>
      <c r="K61" s="182"/>
      <c r="L61" s="182"/>
      <c r="M61" s="87"/>
      <c r="N61" s="182"/>
      <c r="O61" s="142">
        <f t="shared" si="1"/>
        <v>80</v>
      </c>
    </row>
    <row r="62" spans="1:19" ht="14.5" x14ac:dyDescent="0.35">
      <c r="A62" s="30" t="s">
        <v>389</v>
      </c>
      <c r="B62" s="42"/>
      <c r="C62" s="185" t="s">
        <v>390</v>
      </c>
      <c r="D62" s="177" t="s">
        <v>670</v>
      </c>
      <c r="E62" s="186">
        <v>25</v>
      </c>
      <c r="F62" s="187">
        <v>3750</v>
      </c>
      <c r="G62" s="182"/>
      <c r="H62" s="182"/>
      <c r="I62" s="182"/>
      <c r="J62" s="182"/>
      <c r="K62" s="182"/>
      <c r="L62" s="182"/>
      <c r="M62" s="87"/>
      <c r="N62" s="182"/>
      <c r="O62" s="142">
        <f t="shared" si="1"/>
        <v>3750</v>
      </c>
    </row>
    <row r="63" spans="1:19" ht="14.5" x14ac:dyDescent="0.35">
      <c r="A63" s="30" t="s">
        <v>391</v>
      </c>
      <c r="B63" s="42"/>
      <c r="C63" s="185" t="s">
        <v>392</v>
      </c>
      <c r="D63" s="177" t="s">
        <v>670</v>
      </c>
      <c r="E63" s="186">
        <v>1</v>
      </c>
      <c r="F63" s="187">
        <v>1750</v>
      </c>
      <c r="G63" s="182"/>
      <c r="H63" s="182"/>
      <c r="I63" s="182"/>
      <c r="J63" s="182"/>
      <c r="K63" s="182"/>
      <c r="L63" s="182"/>
      <c r="M63" s="87"/>
      <c r="N63" s="182"/>
      <c r="O63" s="142">
        <f t="shared" si="1"/>
        <v>1750</v>
      </c>
    </row>
    <row r="64" spans="1:19" ht="14.5" x14ac:dyDescent="0.35">
      <c r="A64" s="30" t="s">
        <v>393</v>
      </c>
      <c r="B64" s="420" t="s">
        <v>793</v>
      </c>
      <c r="C64" s="431" t="s">
        <v>394</v>
      </c>
      <c r="D64" s="421" t="s">
        <v>670</v>
      </c>
      <c r="E64" s="432">
        <v>5</v>
      </c>
      <c r="F64" s="433">
        <v>1250</v>
      </c>
      <c r="G64" s="199" t="s">
        <v>477</v>
      </c>
      <c r="H64" s="199" t="s">
        <v>355</v>
      </c>
      <c r="I64" s="199" t="s">
        <v>478</v>
      </c>
      <c r="J64" s="199">
        <v>1245</v>
      </c>
      <c r="K64" s="199"/>
      <c r="L64" s="199">
        <v>1245</v>
      </c>
      <c r="M64" s="424"/>
      <c r="N64" s="198"/>
      <c r="O64" s="142">
        <f t="shared" si="1"/>
        <v>5</v>
      </c>
      <c r="S64" s="4">
        <f>L64</f>
        <v>1245</v>
      </c>
    </row>
    <row r="65" spans="1:20" ht="14.5" x14ac:dyDescent="0.35">
      <c r="A65" s="30" t="s">
        <v>395</v>
      </c>
      <c r="B65" s="434" t="s">
        <v>396</v>
      </c>
      <c r="C65" s="431" t="s">
        <v>396</v>
      </c>
      <c r="D65" s="421" t="s">
        <v>670</v>
      </c>
      <c r="E65" s="432">
        <v>1</v>
      </c>
      <c r="F65" s="433">
        <v>250</v>
      </c>
      <c r="G65" s="199" t="s">
        <v>397</v>
      </c>
      <c r="H65" s="199" t="s">
        <v>53</v>
      </c>
      <c r="I65" s="199" t="s">
        <v>264</v>
      </c>
      <c r="J65" s="199">
        <v>235.95</v>
      </c>
      <c r="K65" s="199">
        <v>295</v>
      </c>
      <c r="L65" s="199">
        <v>235.95</v>
      </c>
      <c r="M65" s="424"/>
      <c r="N65" s="198"/>
      <c r="O65" s="142">
        <f t="shared" si="1"/>
        <v>14.050000000000011</v>
      </c>
      <c r="R65" s="4">
        <f>L65</f>
        <v>235.95</v>
      </c>
    </row>
    <row r="66" spans="1:20" ht="29" x14ac:dyDescent="0.35">
      <c r="A66" s="30" t="s">
        <v>398</v>
      </c>
      <c r="B66" s="42"/>
      <c r="C66" s="185" t="s">
        <v>399</v>
      </c>
      <c r="D66" s="177" t="s">
        <v>670</v>
      </c>
      <c r="E66" s="186">
        <v>1</v>
      </c>
      <c r="F66" s="187">
        <v>2000</v>
      </c>
      <c r="G66" s="182"/>
      <c r="H66" s="182"/>
      <c r="I66" s="182"/>
      <c r="J66" s="182"/>
      <c r="K66" s="182"/>
      <c r="L66" s="182"/>
      <c r="M66" s="87"/>
      <c r="N66" s="182"/>
      <c r="O66" s="142">
        <f t="shared" si="1"/>
        <v>2000</v>
      </c>
    </row>
    <row r="67" spans="1:20" ht="14.5" x14ac:dyDescent="0.35">
      <c r="A67" s="30" t="s">
        <v>400</v>
      </c>
      <c r="B67" s="42"/>
      <c r="C67" s="185" t="s">
        <v>401</v>
      </c>
      <c r="D67" s="177" t="s">
        <v>670</v>
      </c>
      <c r="E67" s="186">
        <v>1</v>
      </c>
      <c r="F67" s="187">
        <v>25000</v>
      </c>
      <c r="G67" s="182"/>
      <c r="H67" s="182"/>
      <c r="I67" s="182"/>
      <c r="J67" s="182"/>
      <c r="K67" s="182"/>
      <c r="L67" s="182"/>
      <c r="M67" s="87"/>
      <c r="N67" s="182"/>
      <c r="O67" s="142">
        <f t="shared" si="1"/>
        <v>25000</v>
      </c>
    </row>
    <row r="68" spans="1:20" ht="29" x14ac:dyDescent="0.35">
      <c r="A68" s="30" t="s">
        <v>402</v>
      </c>
      <c r="B68" s="411" t="s">
        <v>788</v>
      </c>
      <c r="C68" s="426" t="s">
        <v>403</v>
      </c>
      <c r="D68" s="412" t="s">
        <v>670</v>
      </c>
      <c r="E68" s="427">
        <v>1</v>
      </c>
      <c r="F68" s="428">
        <v>6000</v>
      </c>
      <c r="G68" s="415" t="s">
        <v>770</v>
      </c>
      <c r="H68" s="415" t="s">
        <v>733</v>
      </c>
      <c r="I68" s="415" t="s">
        <v>201</v>
      </c>
      <c r="J68" s="415">
        <f>4050*1.21</f>
        <v>4900.5</v>
      </c>
      <c r="K68" s="415">
        <v>1409</v>
      </c>
      <c r="L68" s="415">
        <v>4900.5</v>
      </c>
      <c r="M68" s="246"/>
      <c r="N68" s="268" t="s">
        <v>1053</v>
      </c>
      <c r="O68" s="142">
        <f t="shared" si="1"/>
        <v>1099.5</v>
      </c>
      <c r="T68" s="4">
        <v>4900.5</v>
      </c>
    </row>
    <row r="69" spans="1:20" ht="14.5" x14ac:dyDescent="0.35">
      <c r="A69" s="30" t="s">
        <v>404</v>
      </c>
      <c r="B69" s="430" t="s">
        <v>405</v>
      </c>
      <c r="C69" s="426" t="s">
        <v>405</v>
      </c>
      <c r="D69" s="412" t="s">
        <v>670</v>
      </c>
      <c r="E69" s="427">
        <v>100</v>
      </c>
      <c r="F69" s="428">
        <v>2500</v>
      </c>
      <c r="G69" s="415" t="s">
        <v>769</v>
      </c>
      <c r="H69" s="415" t="s">
        <v>768</v>
      </c>
      <c r="I69" s="415" t="s">
        <v>767</v>
      </c>
      <c r="J69" s="415">
        <v>121</v>
      </c>
      <c r="K69" s="415">
        <v>1511</v>
      </c>
      <c r="L69" s="415">
        <v>121</v>
      </c>
      <c r="M69" s="246"/>
      <c r="N69" s="268" t="s">
        <v>1053</v>
      </c>
      <c r="O69" s="142">
        <f t="shared" si="1"/>
        <v>2379</v>
      </c>
      <c r="T69" s="4">
        <v>121</v>
      </c>
    </row>
    <row r="70" spans="1:20" ht="14.5" x14ac:dyDescent="0.35">
      <c r="A70" s="30" t="s">
        <v>406</v>
      </c>
      <c r="B70" s="430" t="s">
        <v>407</v>
      </c>
      <c r="C70" s="426" t="s">
        <v>407</v>
      </c>
      <c r="D70" s="412" t="s">
        <v>670</v>
      </c>
      <c r="E70" s="427">
        <v>100</v>
      </c>
      <c r="F70" s="428">
        <v>5000</v>
      </c>
      <c r="G70" s="415" t="s">
        <v>769</v>
      </c>
      <c r="H70" s="415" t="s">
        <v>768</v>
      </c>
      <c r="I70" s="415" t="s">
        <v>767</v>
      </c>
      <c r="J70" s="415">
        <v>726</v>
      </c>
      <c r="K70" s="415">
        <v>1511</v>
      </c>
      <c r="L70" s="415">
        <v>726</v>
      </c>
      <c r="M70" s="246"/>
      <c r="N70" s="268" t="s">
        <v>1053</v>
      </c>
      <c r="O70" s="142">
        <f t="shared" si="1"/>
        <v>4274</v>
      </c>
      <c r="T70" s="4">
        <v>726</v>
      </c>
    </row>
    <row r="71" spans="1:20" ht="29" x14ac:dyDescent="0.35">
      <c r="A71" s="30" t="s">
        <v>408</v>
      </c>
      <c r="B71" s="411" t="s">
        <v>790</v>
      </c>
      <c r="C71" s="426" t="s">
        <v>409</v>
      </c>
      <c r="D71" s="412" t="s">
        <v>670</v>
      </c>
      <c r="E71" s="427">
        <v>50</v>
      </c>
      <c r="F71" s="428">
        <v>1500</v>
      </c>
      <c r="G71" s="415" t="s">
        <v>766</v>
      </c>
      <c r="H71" s="415" t="s">
        <v>765</v>
      </c>
      <c r="I71" s="415" t="s">
        <v>764</v>
      </c>
      <c r="J71" s="415">
        <v>911.25</v>
      </c>
      <c r="K71" s="415">
        <v>1670</v>
      </c>
      <c r="L71" s="415">
        <v>911.25</v>
      </c>
      <c r="M71" s="246"/>
      <c r="N71" s="268" t="s">
        <v>1053</v>
      </c>
      <c r="O71" s="142">
        <f t="shared" si="1"/>
        <v>588.75</v>
      </c>
    </row>
    <row r="72" spans="1:20" ht="14.5" x14ac:dyDescent="0.35">
      <c r="A72" s="30" t="s">
        <v>410</v>
      </c>
      <c r="B72" s="442" t="s">
        <v>1089</v>
      </c>
      <c r="C72" s="443" t="s">
        <v>411</v>
      </c>
      <c r="D72" s="444" t="s">
        <v>670</v>
      </c>
      <c r="E72" s="445">
        <v>2</v>
      </c>
      <c r="F72" s="446">
        <v>640</v>
      </c>
      <c r="G72" s="447" t="s">
        <v>983</v>
      </c>
      <c r="H72" s="447" t="s">
        <v>982</v>
      </c>
      <c r="I72" s="447" t="s">
        <v>981</v>
      </c>
      <c r="J72" s="447">
        <v>616</v>
      </c>
      <c r="K72" s="447">
        <v>1879</v>
      </c>
      <c r="L72" s="447">
        <v>616</v>
      </c>
      <c r="M72" s="249"/>
      <c r="N72" s="448"/>
      <c r="O72" s="142">
        <f t="shared" si="1"/>
        <v>24</v>
      </c>
    </row>
    <row r="73" spans="1:20" ht="14.5" x14ac:dyDescent="0.35">
      <c r="A73" s="30" t="s">
        <v>412</v>
      </c>
      <c r="B73" s="442" t="s">
        <v>1084</v>
      </c>
      <c r="C73" s="443" t="s">
        <v>413</v>
      </c>
      <c r="D73" s="444" t="s">
        <v>670</v>
      </c>
      <c r="E73" s="445">
        <v>1</v>
      </c>
      <c r="F73" s="446">
        <v>2000</v>
      </c>
      <c r="G73" s="447" t="s">
        <v>980</v>
      </c>
      <c r="H73" s="447" t="s">
        <v>930</v>
      </c>
      <c r="I73" s="447" t="s">
        <v>306</v>
      </c>
      <c r="J73" s="447">
        <v>2395.8000000000002</v>
      </c>
      <c r="K73" s="447">
        <v>2265</v>
      </c>
      <c r="L73" s="449">
        <v>2395.8000000000002</v>
      </c>
      <c r="M73" s="249"/>
      <c r="N73" s="448"/>
      <c r="O73" s="142">
        <f t="shared" si="1"/>
        <v>-395.80000000000018</v>
      </c>
    </row>
    <row r="74" spans="1:20" ht="14.5" x14ac:dyDescent="0.35">
      <c r="A74" s="30" t="s">
        <v>414</v>
      </c>
      <c r="B74" s="442" t="s">
        <v>1085</v>
      </c>
      <c r="C74" s="443" t="s">
        <v>415</v>
      </c>
      <c r="D74" s="444" t="s">
        <v>670</v>
      </c>
      <c r="E74" s="445">
        <v>2</v>
      </c>
      <c r="F74" s="446">
        <v>800</v>
      </c>
      <c r="G74" s="450" t="s">
        <v>980</v>
      </c>
      <c r="H74" s="450" t="s">
        <v>930</v>
      </c>
      <c r="I74" s="450" t="s">
        <v>306</v>
      </c>
      <c r="J74" s="450">
        <v>740.52</v>
      </c>
      <c r="K74" s="450">
        <v>2265</v>
      </c>
      <c r="L74" s="450">
        <v>740.52</v>
      </c>
      <c r="M74" s="249"/>
      <c r="N74" s="448"/>
      <c r="O74" s="142">
        <f t="shared" si="1"/>
        <v>59.480000000000018</v>
      </c>
    </row>
    <row r="75" spans="1:20" ht="29" x14ac:dyDescent="0.35">
      <c r="A75" s="30" t="s">
        <v>416</v>
      </c>
      <c r="B75" s="411" t="s">
        <v>791</v>
      </c>
      <c r="C75" s="426" t="s">
        <v>417</v>
      </c>
      <c r="D75" s="412" t="s">
        <v>670</v>
      </c>
      <c r="E75" s="427">
        <v>2</v>
      </c>
      <c r="F75" s="428">
        <v>400</v>
      </c>
      <c r="G75" s="415" t="s">
        <v>766</v>
      </c>
      <c r="H75" s="415" t="s">
        <v>765</v>
      </c>
      <c r="I75" s="415" t="s">
        <v>764</v>
      </c>
      <c r="J75" s="415">
        <v>82.14</v>
      </c>
      <c r="K75" s="416">
        <v>1670</v>
      </c>
      <c r="L75" s="416">
        <v>82.14</v>
      </c>
      <c r="M75" s="246"/>
      <c r="N75" s="268" t="s">
        <v>1053</v>
      </c>
      <c r="O75" s="142">
        <f t="shared" si="1"/>
        <v>317.86</v>
      </c>
    </row>
    <row r="76" spans="1:20" ht="14.5" x14ac:dyDescent="0.35">
      <c r="A76" s="30" t="s">
        <v>418</v>
      </c>
      <c r="B76" s="42"/>
      <c r="C76" s="185" t="s">
        <v>419</v>
      </c>
      <c r="D76" s="177" t="s">
        <v>670</v>
      </c>
      <c r="E76" s="186">
        <v>15</v>
      </c>
      <c r="F76" s="187">
        <v>15000</v>
      </c>
      <c r="G76" s="182"/>
      <c r="H76" s="182"/>
      <c r="I76" s="182"/>
      <c r="J76" s="188"/>
      <c r="K76" s="182"/>
      <c r="L76" s="182"/>
      <c r="M76" s="87"/>
      <c r="N76" s="181"/>
      <c r="O76" s="142">
        <f t="shared" si="1"/>
        <v>15000</v>
      </c>
    </row>
    <row r="77" spans="1:20" ht="14.5" x14ac:dyDescent="0.35">
      <c r="A77" s="30" t="s">
        <v>420</v>
      </c>
      <c r="B77" s="420" t="s">
        <v>421</v>
      </c>
      <c r="C77" s="431" t="s">
        <v>421</v>
      </c>
      <c r="D77" s="421" t="s">
        <v>670</v>
      </c>
      <c r="E77" s="432">
        <v>1</v>
      </c>
      <c r="F77" s="433">
        <v>100</v>
      </c>
      <c r="G77" s="199">
        <v>391376063</v>
      </c>
      <c r="H77" s="199" t="s">
        <v>422</v>
      </c>
      <c r="I77" s="199" t="s">
        <v>259</v>
      </c>
      <c r="J77" s="200">
        <v>74.010000000000005</v>
      </c>
      <c r="K77" s="199">
        <v>374</v>
      </c>
      <c r="L77" s="200">
        <v>74.010000000000005</v>
      </c>
      <c r="M77" s="424"/>
      <c r="N77" s="198"/>
      <c r="O77" s="142">
        <f t="shared" si="1"/>
        <v>25.989999999999995</v>
      </c>
      <c r="R77" s="4">
        <f>L77</f>
        <v>74.010000000000005</v>
      </c>
    </row>
    <row r="78" spans="1:20" ht="15.5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P78" s="4">
        <f>SUM(Q78:T78)</f>
        <v>30465.579999999998</v>
      </c>
      <c r="Q78" s="4">
        <f>SUM(Q9:Q77)</f>
        <v>54.6</v>
      </c>
      <c r="R78" s="4">
        <f>SUM(R9:R77)</f>
        <v>17280.87</v>
      </c>
      <c r="S78" s="4">
        <f>SUM(S9:S77)</f>
        <v>7043.75</v>
      </c>
      <c r="T78" s="4">
        <f>SUM(T9:T77)</f>
        <v>6086.36</v>
      </c>
    </row>
    <row r="79" spans="1:20" hidden="1" x14ac:dyDescent="0.35"/>
    <row r="80" spans="1:20" hidden="1" x14ac:dyDescent="0.35"/>
    <row r="81" hidden="1" x14ac:dyDescent="0.35"/>
  </sheetData>
  <autoFilter ref="A7:T78" xr:uid="{FEDABF57-2C95-43B5-99E7-CE3FC7E303C0}"/>
  <mergeCells count="11">
    <mergeCell ref="N6:N7"/>
    <mergeCell ref="D6:D7"/>
    <mergeCell ref="K6:M6"/>
    <mergeCell ref="B4:N4"/>
    <mergeCell ref="B5:F5"/>
    <mergeCell ref="G5:N5"/>
    <mergeCell ref="B6:B7"/>
    <mergeCell ref="C6:C7"/>
    <mergeCell ref="E6:E7"/>
    <mergeCell ref="F6:F7"/>
    <mergeCell ref="G6:J6"/>
  </mergeCells>
  <pageMargins left="0.7" right="0.7" top="0.75" bottom="0.75" header="0.3" footer="0.3"/>
  <pageSetup paperSize="9" scale="28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4E2A-CA11-4266-B69F-E7DA82F1FB38}">
  <sheetPr>
    <tabColor rgb="FF92D050"/>
  </sheetPr>
  <dimension ref="A1:M40"/>
  <sheetViews>
    <sheetView view="pageBreakPreview" zoomScale="60" zoomScaleNormal="90" workbookViewId="0">
      <pane xSplit="1" ySplit="8" topLeftCell="B18" activePane="bottomRight" state="frozen"/>
      <selection pane="topRight" activeCell="B1" sqref="B1"/>
      <selection pane="bottomLeft" activeCell="A8" sqref="A8"/>
      <selection pane="bottomRight" activeCell="I9" sqref="I9"/>
    </sheetView>
  </sheetViews>
  <sheetFormatPr defaultColWidth="9.1796875" defaultRowHeight="14" x14ac:dyDescent="0.35"/>
  <cols>
    <col min="1" max="1" width="33.1796875" style="4" customWidth="1"/>
    <col min="2" max="2" width="35.453125" style="4" customWidth="1"/>
    <col min="3" max="3" width="23.453125" style="4" customWidth="1"/>
    <col min="4" max="4" width="14.26953125" style="4" customWidth="1"/>
    <col min="5" max="5" width="16.81640625" style="4" customWidth="1"/>
    <col min="6" max="7" width="14.1796875" style="4" customWidth="1"/>
    <col min="8" max="8" width="21" style="4" customWidth="1"/>
    <col min="9" max="10" width="14.26953125" style="4" customWidth="1"/>
    <col min="11" max="11" width="14.453125" style="4" customWidth="1"/>
    <col min="12" max="12" width="14.1796875" style="4" customWidth="1"/>
    <col min="13" max="13" width="32.81640625" style="4" customWidth="1"/>
    <col min="14" max="16384" width="9.1796875" style="4"/>
  </cols>
  <sheetData>
    <row r="1" spans="1:13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5.5" x14ac:dyDescent="0.35">
      <c r="A2" s="741" t="s">
        <v>131</v>
      </c>
      <c r="B2" s="741"/>
      <c r="C2" s="93"/>
      <c r="D2" s="1"/>
      <c r="E2" s="1"/>
      <c r="F2" s="1"/>
      <c r="G2" s="1"/>
      <c r="H2" s="93"/>
      <c r="I2" s="1"/>
      <c r="J2" s="1"/>
      <c r="K2" s="1"/>
      <c r="L2" s="1"/>
      <c r="M2" s="2"/>
    </row>
    <row r="3" spans="1:13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15.5" x14ac:dyDescent="0.35">
      <c r="A4" s="1"/>
      <c r="B4" s="1"/>
      <c r="C4" s="1"/>
      <c r="D4" s="1"/>
      <c r="E4" s="1"/>
      <c r="F4" s="1"/>
      <c r="G4" s="1"/>
      <c r="H4" s="93"/>
      <c r="I4" s="1"/>
      <c r="J4" s="1"/>
      <c r="K4" s="1"/>
      <c r="L4" s="1"/>
      <c r="M4" s="2"/>
    </row>
    <row r="5" spans="1:13" ht="17.5" x14ac:dyDescent="0.35">
      <c r="A5" s="650" t="s">
        <v>4</v>
      </c>
      <c r="B5" s="650"/>
      <c r="C5" s="650"/>
      <c r="D5" s="650"/>
      <c r="E5" s="651"/>
      <c r="F5" s="651"/>
      <c r="G5" s="651"/>
      <c r="H5" s="651"/>
      <c r="I5" s="651"/>
      <c r="J5" s="651"/>
      <c r="K5" s="651"/>
      <c r="L5" s="651"/>
      <c r="M5" s="652"/>
    </row>
    <row r="6" spans="1:13" ht="15" x14ac:dyDescent="0.35">
      <c r="A6" s="587" t="s">
        <v>132</v>
      </c>
      <c r="B6" s="588"/>
      <c r="C6" s="588"/>
      <c r="D6" s="588"/>
      <c r="E6" s="589"/>
      <c r="F6" s="587" t="s">
        <v>4</v>
      </c>
      <c r="G6" s="588"/>
      <c r="H6" s="588"/>
      <c r="I6" s="588"/>
      <c r="J6" s="588"/>
      <c r="K6" s="588"/>
      <c r="L6" s="588"/>
      <c r="M6" s="589"/>
    </row>
    <row r="7" spans="1:13" ht="15" x14ac:dyDescent="0.35">
      <c r="A7" s="590" t="s">
        <v>575</v>
      </c>
      <c r="B7" s="590" t="s">
        <v>133</v>
      </c>
      <c r="C7" s="590" t="s">
        <v>574</v>
      </c>
      <c r="D7" s="590" t="s">
        <v>6</v>
      </c>
      <c r="E7" s="590" t="s">
        <v>7</v>
      </c>
      <c r="F7" s="587" t="s">
        <v>134</v>
      </c>
      <c r="G7" s="588"/>
      <c r="H7" s="588"/>
      <c r="I7" s="589"/>
      <c r="J7" s="122"/>
      <c r="K7" s="653" t="s">
        <v>830</v>
      </c>
      <c r="L7" s="654"/>
      <c r="M7" s="590" t="s">
        <v>135</v>
      </c>
    </row>
    <row r="8" spans="1:13" ht="30" x14ac:dyDescent="0.35">
      <c r="A8" s="591"/>
      <c r="B8" s="591"/>
      <c r="C8" s="591"/>
      <c r="D8" s="591"/>
      <c r="E8" s="591"/>
      <c r="F8" s="91" t="s">
        <v>8</v>
      </c>
      <c r="G8" s="91" t="s">
        <v>9</v>
      </c>
      <c r="H8" s="91" t="s">
        <v>10</v>
      </c>
      <c r="I8" s="91" t="s">
        <v>11</v>
      </c>
      <c r="J8" s="91" t="s">
        <v>659</v>
      </c>
      <c r="K8" s="104" t="s">
        <v>579</v>
      </c>
      <c r="L8" s="104" t="s">
        <v>573</v>
      </c>
      <c r="M8" s="591"/>
    </row>
    <row r="9" spans="1:13" ht="15" x14ac:dyDescent="0.35">
      <c r="A9" s="6"/>
      <c r="B9" s="7"/>
      <c r="C9" s="7"/>
      <c r="D9" s="7"/>
      <c r="E9" s="46">
        <f>SUM(E10:E37)</f>
        <v>328380.26</v>
      </c>
      <c r="F9" s="7"/>
      <c r="G9" s="7"/>
      <c r="H9" s="7"/>
      <c r="I9" s="46">
        <f>SUM(I10:I37)</f>
        <v>317424.27</v>
      </c>
      <c r="J9" s="7"/>
      <c r="K9" s="46">
        <f>SUM(K10:K37)</f>
        <v>317424.27</v>
      </c>
      <c r="L9" s="29"/>
      <c r="M9" s="7"/>
    </row>
    <row r="10" spans="1:13" ht="31" x14ac:dyDescent="0.35">
      <c r="A10" s="335" t="s">
        <v>835</v>
      </c>
      <c r="B10" s="335" t="s">
        <v>136</v>
      </c>
      <c r="C10" s="335" t="s">
        <v>669</v>
      </c>
      <c r="D10" s="327">
        <v>1</v>
      </c>
      <c r="E10" s="469">
        <v>4855.55</v>
      </c>
      <c r="F10" s="327" t="s">
        <v>479</v>
      </c>
      <c r="G10" s="327" t="s">
        <v>480</v>
      </c>
      <c r="H10" s="327" t="s">
        <v>481</v>
      </c>
      <c r="I10" s="469">
        <f>4092.48+330.4</f>
        <v>4422.88</v>
      </c>
      <c r="J10" s="470" t="s">
        <v>482</v>
      </c>
      <c r="K10" s="469">
        <f>4092.48+330.4</f>
        <v>4422.88</v>
      </c>
      <c r="L10" s="246"/>
      <c r="M10" s="268" t="s">
        <v>1053</v>
      </c>
    </row>
    <row r="11" spans="1:13" ht="31" x14ac:dyDescent="0.35">
      <c r="A11" s="335" t="s">
        <v>838</v>
      </c>
      <c r="B11" s="335" t="s">
        <v>137</v>
      </c>
      <c r="C11" s="335" t="s">
        <v>669</v>
      </c>
      <c r="D11" s="327">
        <v>2</v>
      </c>
      <c r="E11" s="469">
        <v>2739.44</v>
      </c>
      <c r="F11" s="327" t="s">
        <v>815</v>
      </c>
      <c r="G11" s="327" t="s">
        <v>816</v>
      </c>
      <c r="H11" s="327" t="s">
        <v>149</v>
      </c>
      <c r="I11" s="469">
        <v>3037.1</v>
      </c>
      <c r="J11" s="327">
        <v>1086</v>
      </c>
      <c r="K11" s="469">
        <v>3037.1</v>
      </c>
      <c r="L11" s="246"/>
      <c r="M11" s="268" t="s">
        <v>1053</v>
      </c>
    </row>
    <row r="12" spans="1:13" ht="46.5" x14ac:dyDescent="0.35">
      <c r="A12" s="335" t="s">
        <v>25</v>
      </c>
      <c r="B12" s="335" t="s">
        <v>25</v>
      </c>
      <c r="C12" s="335" t="s">
        <v>669</v>
      </c>
      <c r="D12" s="327">
        <v>1</v>
      </c>
      <c r="E12" s="469">
        <v>19000</v>
      </c>
      <c r="F12" s="327" t="s">
        <v>138</v>
      </c>
      <c r="G12" s="327" t="s">
        <v>139</v>
      </c>
      <c r="H12" s="327" t="s">
        <v>140</v>
      </c>
      <c r="I12" s="469">
        <v>18983.05</v>
      </c>
      <c r="J12" s="327">
        <v>518</v>
      </c>
      <c r="K12" s="469">
        <v>18983.05</v>
      </c>
      <c r="L12" s="246"/>
      <c r="M12" s="268" t="s">
        <v>1053</v>
      </c>
    </row>
    <row r="13" spans="1:13" s="31" customFormat="1" ht="15.5" x14ac:dyDescent="0.35">
      <c r="A13" s="151"/>
      <c r="B13" s="146" t="s">
        <v>82</v>
      </c>
      <c r="C13" s="146" t="s">
        <v>669</v>
      </c>
      <c r="D13" s="137">
        <v>1</v>
      </c>
      <c r="E13" s="189">
        <v>25992.01</v>
      </c>
      <c r="F13" s="137"/>
      <c r="G13" s="137"/>
      <c r="H13" s="137"/>
      <c r="I13" s="189"/>
      <c r="J13" s="137"/>
      <c r="K13" s="189"/>
      <c r="L13" s="87"/>
      <c r="M13" s="27"/>
    </row>
    <row r="14" spans="1:13" ht="31" x14ac:dyDescent="0.35">
      <c r="A14" s="335" t="s">
        <v>807</v>
      </c>
      <c r="B14" s="335" t="s">
        <v>141</v>
      </c>
      <c r="C14" s="335" t="s">
        <v>669</v>
      </c>
      <c r="D14" s="327">
        <v>1</v>
      </c>
      <c r="E14" s="469">
        <v>18910</v>
      </c>
      <c r="F14" s="327" t="s">
        <v>142</v>
      </c>
      <c r="G14" s="327" t="s">
        <v>143</v>
      </c>
      <c r="H14" s="327" t="s">
        <v>144</v>
      </c>
      <c r="I14" s="469">
        <v>19909.990000000002</v>
      </c>
      <c r="J14" s="327">
        <v>449</v>
      </c>
      <c r="K14" s="469">
        <v>19909.990000000002</v>
      </c>
      <c r="L14" s="246"/>
      <c r="M14" s="268" t="s">
        <v>1053</v>
      </c>
    </row>
    <row r="15" spans="1:13" ht="28" x14ac:dyDescent="0.35">
      <c r="A15" s="335" t="s">
        <v>837</v>
      </c>
      <c r="B15" s="335" t="s">
        <v>26</v>
      </c>
      <c r="C15" s="335" t="s">
        <v>669</v>
      </c>
      <c r="D15" s="327">
        <v>1</v>
      </c>
      <c r="E15" s="469">
        <v>11952.12</v>
      </c>
      <c r="F15" s="327" t="s">
        <v>483</v>
      </c>
      <c r="G15" s="327" t="s">
        <v>484</v>
      </c>
      <c r="H15" s="327" t="s">
        <v>445</v>
      </c>
      <c r="I15" s="469">
        <v>14933.82</v>
      </c>
      <c r="J15" s="327">
        <v>868</v>
      </c>
      <c r="K15" s="469">
        <v>14933.82</v>
      </c>
      <c r="L15" s="246"/>
      <c r="M15" s="268" t="s">
        <v>1053</v>
      </c>
    </row>
    <row r="16" spans="1:13" ht="31" x14ac:dyDescent="0.35">
      <c r="A16" s="335" t="s">
        <v>834</v>
      </c>
      <c r="B16" s="335" t="s">
        <v>27</v>
      </c>
      <c r="C16" s="335" t="s">
        <v>669</v>
      </c>
      <c r="D16" s="327">
        <v>1</v>
      </c>
      <c r="E16" s="469">
        <v>11482.36</v>
      </c>
      <c r="F16" s="327" t="s">
        <v>485</v>
      </c>
      <c r="G16" s="327" t="s">
        <v>486</v>
      </c>
      <c r="H16" s="327" t="s">
        <v>149</v>
      </c>
      <c r="I16" s="469">
        <v>10769</v>
      </c>
      <c r="J16" s="327">
        <v>867</v>
      </c>
      <c r="K16" s="469">
        <v>10769</v>
      </c>
      <c r="L16" s="246"/>
      <c r="M16" s="268" t="s">
        <v>1053</v>
      </c>
    </row>
    <row r="17" spans="1:13" ht="31" x14ac:dyDescent="0.35">
      <c r="A17" s="335" t="s">
        <v>832</v>
      </c>
      <c r="B17" s="335" t="s">
        <v>145</v>
      </c>
      <c r="C17" s="335" t="s">
        <v>669</v>
      </c>
      <c r="D17" s="327">
        <v>1</v>
      </c>
      <c r="E17" s="469">
        <v>9711.1</v>
      </c>
      <c r="F17" s="327" t="s">
        <v>487</v>
      </c>
      <c r="G17" s="327" t="s">
        <v>488</v>
      </c>
      <c r="H17" s="327" t="s">
        <v>149</v>
      </c>
      <c r="I17" s="469">
        <v>9678.7900000000009</v>
      </c>
      <c r="J17" s="327">
        <v>869</v>
      </c>
      <c r="K17" s="469">
        <v>9678.7900000000009</v>
      </c>
      <c r="L17" s="246"/>
      <c r="M17" s="268" t="s">
        <v>1053</v>
      </c>
    </row>
    <row r="18" spans="1:13" ht="31" x14ac:dyDescent="0.35">
      <c r="A18" s="335" t="s">
        <v>146</v>
      </c>
      <c r="B18" s="335" t="s">
        <v>146</v>
      </c>
      <c r="C18" s="335" t="s">
        <v>669</v>
      </c>
      <c r="D18" s="327">
        <v>1</v>
      </c>
      <c r="E18" s="469">
        <v>8721.68</v>
      </c>
      <c r="F18" s="327" t="s">
        <v>147</v>
      </c>
      <c r="G18" s="327" t="s">
        <v>148</v>
      </c>
      <c r="H18" s="327" t="s">
        <v>149</v>
      </c>
      <c r="I18" s="469">
        <v>8699.9</v>
      </c>
      <c r="J18" s="327">
        <v>646</v>
      </c>
      <c r="K18" s="469">
        <v>8699.9</v>
      </c>
      <c r="L18" s="246"/>
      <c r="M18" s="268" t="s">
        <v>1053</v>
      </c>
    </row>
    <row r="19" spans="1:13" ht="31" x14ac:dyDescent="0.35">
      <c r="A19" s="335" t="s">
        <v>808</v>
      </c>
      <c r="B19" s="335" t="s">
        <v>150</v>
      </c>
      <c r="C19" s="335" t="s">
        <v>669</v>
      </c>
      <c r="D19" s="327">
        <v>1</v>
      </c>
      <c r="E19" s="469">
        <v>7186.43</v>
      </c>
      <c r="F19" s="327" t="s">
        <v>151</v>
      </c>
      <c r="G19" s="327" t="s">
        <v>152</v>
      </c>
      <c r="H19" s="327" t="s">
        <v>149</v>
      </c>
      <c r="I19" s="469">
        <v>7139</v>
      </c>
      <c r="J19" s="327">
        <v>468</v>
      </c>
      <c r="K19" s="469">
        <v>7139</v>
      </c>
      <c r="L19" s="246"/>
      <c r="M19" s="268" t="s">
        <v>1053</v>
      </c>
    </row>
    <row r="20" spans="1:13" ht="31" x14ac:dyDescent="0.35">
      <c r="A20" s="335" t="s">
        <v>364</v>
      </c>
      <c r="B20" s="335" t="s">
        <v>153</v>
      </c>
      <c r="C20" s="335" t="s">
        <v>669</v>
      </c>
      <c r="D20" s="327">
        <v>1</v>
      </c>
      <c r="E20" s="469">
        <v>6402.92</v>
      </c>
      <c r="F20" s="327" t="s">
        <v>489</v>
      </c>
      <c r="G20" s="327" t="s">
        <v>457</v>
      </c>
      <c r="H20" s="327" t="s">
        <v>149</v>
      </c>
      <c r="I20" s="469">
        <v>26620</v>
      </c>
      <c r="J20" s="327">
        <v>851</v>
      </c>
      <c r="K20" s="469">
        <v>26620</v>
      </c>
      <c r="L20" s="246"/>
      <c r="M20" s="268" t="s">
        <v>1053</v>
      </c>
    </row>
    <row r="21" spans="1:13" ht="79.5" customHeight="1" x14ac:dyDescent="0.35">
      <c r="A21" s="335" t="s">
        <v>836</v>
      </c>
      <c r="B21" s="733" t="s">
        <v>29</v>
      </c>
      <c r="C21" s="733" t="s">
        <v>669</v>
      </c>
      <c r="D21" s="732">
        <v>1</v>
      </c>
      <c r="E21" s="740">
        <v>5677.26</v>
      </c>
      <c r="F21" s="732" t="s">
        <v>817</v>
      </c>
      <c r="G21" s="732" t="s">
        <v>818</v>
      </c>
      <c r="H21" s="732" t="s">
        <v>490</v>
      </c>
      <c r="I21" s="469">
        <f>2504.7</f>
        <v>2504.6999999999998</v>
      </c>
      <c r="J21" s="732" t="s">
        <v>819</v>
      </c>
      <c r="K21" s="740">
        <f>2504.7+5844.3</f>
        <v>8349</v>
      </c>
      <c r="L21" s="246"/>
      <c r="M21" s="268" t="s">
        <v>1053</v>
      </c>
    </row>
    <row r="22" spans="1:13" ht="15.75" customHeight="1" x14ac:dyDescent="0.35">
      <c r="A22" s="471"/>
      <c r="B22" s="734"/>
      <c r="C22" s="734"/>
      <c r="D22" s="693"/>
      <c r="E22" s="739"/>
      <c r="F22" s="693"/>
      <c r="G22" s="693"/>
      <c r="H22" s="693"/>
      <c r="I22" s="472">
        <v>5844.3</v>
      </c>
      <c r="J22" s="693"/>
      <c r="K22" s="739"/>
      <c r="L22" s="473"/>
      <c r="M22" s="268" t="s">
        <v>1053</v>
      </c>
    </row>
    <row r="23" spans="1:13" ht="15.5" x14ac:dyDescent="0.35">
      <c r="A23" s="8"/>
      <c r="B23" s="8" t="s">
        <v>137</v>
      </c>
      <c r="C23" s="8" t="s">
        <v>669</v>
      </c>
      <c r="D23" s="137">
        <v>2</v>
      </c>
      <c r="E23" s="189">
        <v>2739.44</v>
      </c>
      <c r="F23" s="137"/>
      <c r="G23" s="137"/>
      <c r="H23" s="137"/>
      <c r="I23" s="137"/>
      <c r="J23" s="137"/>
      <c r="K23" s="189"/>
      <c r="L23" s="87"/>
      <c r="M23" s="27"/>
    </row>
    <row r="24" spans="1:13" ht="31" x14ac:dyDescent="0.35">
      <c r="A24" s="335" t="s">
        <v>809</v>
      </c>
      <c r="B24" s="335" t="s">
        <v>34</v>
      </c>
      <c r="C24" s="335" t="s">
        <v>669</v>
      </c>
      <c r="D24" s="327">
        <v>1</v>
      </c>
      <c r="E24" s="469">
        <v>1300</v>
      </c>
      <c r="F24" s="327" t="s">
        <v>154</v>
      </c>
      <c r="G24" s="327" t="s">
        <v>152</v>
      </c>
      <c r="H24" s="327" t="s">
        <v>149</v>
      </c>
      <c r="I24" s="469">
        <v>1299.54</v>
      </c>
      <c r="J24" s="327">
        <v>467</v>
      </c>
      <c r="K24" s="469">
        <v>1299.54</v>
      </c>
      <c r="L24" s="246"/>
      <c r="M24" s="268" t="s">
        <v>1053</v>
      </c>
    </row>
    <row r="25" spans="1:13" ht="28" x14ac:dyDescent="0.35">
      <c r="A25" s="474" t="s">
        <v>511</v>
      </c>
      <c r="B25" s="335" t="s">
        <v>36</v>
      </c>
      <c r="C25" s="335" t="s">
        <v>669</v>
      </c>
      <c r="D25" s="327">
        <v>1</v>
      </c>
      <c r="E25" s="469">
        <v>1165.33</v>
      </c>
      <c r="F25" s="327" t="s">
        <v>491</v>
      </c>
      <c r="G25" s="327" t="s">
        <v>472</v>
      </c>
      <c r="H25" s="327" t="s">
        <v>492</v>
      </c>
      <c r="I25" s="469">
        <v>1164.02</v>
      </c>
      <c r="J25" s="327">
        <v>874</v>
      </c>
      <c r="K25" s="469">
        <v>1164.02</v>
      </c>
      <c r="L25" s="246"/>
      <c r="M25" s="268" t="s">
        <v>1053</v>
      </c>
    </row>
    <row r="26" spans="1:13" ht="28" x14ac:dyDescent="0.35">
      <c r="A26" s="335" t="s">
        <v>810</v>
      </c>
      <c r="B26" s="335" t="s">
        <v>38</v>
      </c>
      <c r="C26" s="335" t="s">
        <v>669</v>
      </c>
      <c r="D26" s="327">
        <v>2</v>
      </c>
      <c r="E26" s="469">
        <v>1344.62</v>
      </c>
      <c r="F26" s="327" t="s">
        <v>155</v>
      </c>
      <c r="G26" s="327" t="s">
        <v>143</v>
      </c>
      <c r="H26" s="327" t="s">
        <v>156</v>
      </c>
      <c r="I26" s="469">
        <v>582.1</v>
      </c>
      <c r="J26" s="327">
        <v>517</v>
      </c>
      <c r="K26" s="469">
        <v>582.1</v>
      </c>
      <c r="L26" s="246"/>
      <c r="M26" s="268" t="s">
        <v>1053</v>
      </c>
    </row>
    <row r="27" spans="1:13" ht="63" customHeight="1" x14ac:dyDescent="0.35">
      <c r="A27" s="730" t="s">
        <v>811</v>
      </c>
      <c r="B27" s="735" t="s">
        <v>157</v>
      </c>
      <c r="C27" s="736" t="s">
        <v>670</v>
      </c>
      <c r="D27" s="691">
        <v>1</v>
      </c>
      <c r="E27" s="738">
        <v>70000</v>
      </c>
      <c r="F27" s="691" t="s">
        <v>829</v>
      </c>
      <c r="G27" s="691" t="s">
        <v>828</v>
      </c>
      <c r="H27" s="691" t="s">
        <v>827</v>
      </c>
      <c r="I27" s="469">
        <v>10826.11</v>
      </c>
      <c r="J27" s="691" t="s">
        <v>826</v>
      </c>
      <c r="K27" s="738">
        <f>54130.56+14788.32</f>
        <v>68918.880000000005</v>
      </c>
      <c r="L27" s="246"/>
      <c r="M27" s="268" t="s">
        <v>1053</v>
      </c>
    </row>
    <row r="28" spans="1:13" ht="26.25" customHeight="1" x14ac:dyDescent="0.35">
      <c r="A28" s="731"/>
      <c r="B28" s="734"/>
      <c r="C28" s="737"/>
      <c r="D28" s="693"/>
      <c r="E28" s="739"/>
      <c r="F28" s="693"/>
      <c r="G28" s="693"/>
      <c r="H28" s="693"/>
      <c r="I28" s="469">
        <f>54130.56+14788.32-10826.11</f>
        <v>58092.770000000004</v>
      </c>
      <c r="J28" s="693"/>
      <c r="K28" s="739"/>
      <c r="L28" s="246"/>
      <c r="M28" s="268" t="s">
        <v>1053</v>
      </c>
    </row>
    <row r="29" spans="1:13" ht="31" x14ac:dyDescent="0.35">
      <c r="A29" s="335" t="s">
        <v>812</v>
      </c>
      <c r="B29" s="475" t="s">
        <v>159</v>
      </c>
      <c r="C29" s="475" t="s">
        <v>670</v>
      </c>
      <c r="D29" s="327">
        <v>1</v>
      </c>
      <c r="E29" s="469">
        <v>12000</v>
      </c>
      <c r="F29" s="327" t="s">
        <v>160</v>
      </c>
      <c r="G29" s="327" t="s">
        <v>161</v>
      </c>
      <c r="H29" s="327" t="s">
        <v>149</v>
      </c>
      <c r="I29" s="469">
        <v>11858</v>
      </c>
      <c r="J29" s="327">
        <v>640</v>
      </c>
      <c r="K29" s="469">
        <v>11858</v>
      </c>
      <c r="L29" s="246"/>
      <c r="M29" s="268" t="s">
        <v>1053</v>
      </c>
    </row>
    <row r="30" spans="1:13" ht="31" x14ac:dyDescent="0.35">
      <c r="A30" s="246" t="s">
        <v>833</v>
      </c>
      <c r="B30" s="476" t="s">
        <v>162</v>
      </c>
      <c r="C30" s="476" t="s">
        <v>670</v>
      </c>
      <c r="D30" s="327">
        <v>1</v>
      </c>
      <c r="E30" s="469">
        <v>5000</v>
      </c>
      <c r="F30" s="327" t="s">
        <v>493</v>
      </c>
      <c r="G30" s="327" t="s">
        <v>472</v>
      </c>
      <c r="H30" s="327" t="s">
        <v>149</v>
      </c>
      <c r="I30" s="469">
        <v>4719</v>
      </c>
      <c r="J30" s="327">
        <v>870</v>
      </c>
      <c r="K30" s="469">
        <v>4719</v>
      </c>
      <c r="L30" s="246"/>
      <c r="M30" s="268" t="s">
        <v>1053</v>
      </c>
    </row>
    <row r="31" spans="1:13" ht="31" x14ac:dyDescent="0.35">
      <c r="A31" s="335" t="s">
        <v>813</v>
      </c>
      <c r="B31" s="335" t="s">
        <v>163</v>
      </c>
      <c r="C31" s="475" t="s">
        <v>670</v>
      </c>
      <c r="D31" s="327">
        <v>1</v>
      </c>
      <c r="E31" s="469">
        <v>80000</v>
      </c>
      <c r="F31" s="327" t="s">
        <v>164</v>
      </c>
      <c r="G31" s="327" t="s">
        <v>165</v>
      </c>
      <c r="H31" s="327" t="s">
        <v>149</v>
      </c>
      <c r="I31" s="469">
        <v>78650</v>
      </c>
      <c r="J31" s="327">
        <v>477</v>
      </c>
      <c r="K31" s="469">
        <v>78650</v>
      </c>
      <c r="L31" s="246"/>
      <c r="M31" s="268" t="s">
        <v>1053</v>
      </c>
    </row>
    <row r="32" spans="1:13" ht="47.25" customHeight="1" x14ac:dyDescent="0.35">
      <c r="A32" s="735" t="s">
        <v>831</v>
      </c>
      <c r="B32" s="735" t="s">
        <v>166</v>
      </c>
      <c r="C32" s="736" t="s">
        <v>670</v>
      </c>
      <c r="D32" s="691">
        <v>3</v>
      </c>
      <c r="E32" s="738">
        <v>7200</v>
      </c>
      <c r="F32" s="691" t="s">
        <v>820</v>
      </c>
      <c r="G32" s="691" t="s">
        <v>821</v>
      </c>
      <c r="H32" s="691" t="s">
        <v>149</v>
      </c>
      <c r="I32" s="469">
        <f>1911.8</f>
        <v>1911.8</v>
      </c>
      <c r="J32" s="691" t="s">
        <v>822</v>
      </c>
      <c r="K32" s="738">
        <f>1911.8+1149.5</f>
        <v>3061.3</v>
      </c>
      <c r="L32" s="246"/>
      <c r="M32" s="268" t="s">
        <v>1053</v>
      </c>
    </row>
    <row r="33" spans="1:13" ht="15.75" customHeight="1" x14ac:dyDescent="0.35">
      <c r="A33" s="734"/>
      <c r="B33" s="734"/>
      <c r="C33" s="737"/>
      <c r="D33" s="693"/>
      <c r="E33" s="739"/>
      <c r="F33" s="693"/>
      <c r="G33" s="693"/>
      <c r="H33" s="693"/>
      <c r="I33" s="469">
        <v>1149.5</v>
      </c>
      <c r="J33" s="693"/>
      <c r="K33" s="739"/>
      <c r="L33" s="246"/>
      <c r="M33" s="268" t="s">
        <v>1053</v>
      </c>
    </row>
    <row r="34" spans="1:13" ht="31" x14ac:dyDescent="0.35">
      <c r="A34" s="335" t="s">
        <v>840</v>
      </c>
      <c r="B34" s="475" t="s">
        <v>167</v>
      </c>
      <c r="C34" s="475" t="s">
        <v>670</v>
      </c>
      <c r="D34" s="327">
        <v>1</v>
      </c>
      <c r="E34" s="469">
        <v>1200</v>
      </c>
      <c r="F34" s="327" t="s">
        <v>823</v>
      </c>
      <c r="G34" s="327" t="s">
        <v>824</v>
      </c>
      <c r="H34" s="327" t="s">
        <v>149</v>
      </c>
      <c r="I34" s="469">
        <v>786.5</v>
      </c>
      <c r="J34" s="327">
        <v>1113</v>
      </c>
      <c r="K34" s="469">
        <v>786.5</v>
      </c>
      <c r="L34" s="246"/>
      <c r="M34" s="268" t="s">
        <v>1053</v>
      </c>
    </row>
    <row r="35" spans="1:13" ht="31" x14ac:dyDescent="0.35">
      <c r="A35" s="335" t="s">
        <v>839</v>
      </c>
      <c r="B35" s="475" t="s">
        <v>168</v>
      </c>
      <c r="C35" s="475" t="s">
        <v>670</v>
      </c>
      <c r="D35" s="327">
        <v>1</v>
      </c>
      <c r="E35" s="469">
        <v>1800</v>
      </c>
      <c r="F35" s="327" t="s">
        <v>825</v>
      </c>
      <c r="G35" s="327" t="s">
        <v>816</v>
      </c>
      <c r="H35" s="327" t="s">
        <v>149</v>
      </c>
      <c r="I35" s="469">
        <v>1984.4</v>
      </c>
      <c r="J35" s="327">
        <v>1088</v>
      </c>
      <c r="K35" s="469">
        <v>1984.4</v>
      </c>
      <c r="L35" s="246"/>
      <c r="M35" s="268" t="s">
        <v>1053</v>
      </c>
    </row>
    <row r="36" spans="1:13" ht="31" x14ac:dyDescent="0.35">
      <c r="A36" s="335" t="s">
        <v>234</v>
      </c>
      <c r="B36" s="475" t="s">
        <v>169</v>
      </c>
      <c r="C36" s="475" t="s">
        <v>670</v>
      </c>
      <c r="D36" s="327">
        <v>2</v>
      </c>
      <c r="E36" s="469">
        <v>8000</v>
      </c>
      <c r="F36" s="327" t="s">
        <v>494</v>
      </c>
      <c r="G36" s="327" t="s">
        <v>488</v>
      </c>
      <c r="H36" s="327" t="s">
        <v>149</v>
      </c>
      <c r="I36" s="469">
        <v>7986</v>
      </c>
      <c r="J36" s="327">
        <v>871</v>
      </c>
      <c r="K36" s="469">
        <v>7986</v>
      </c>
      <c r="L36" s="246"/>
      <c r="M36" s="268" t="s">
        <v>1053</v>
      </c>
    </row>
    <row r="37" spans="1:13" ht="31" x14ac:dyDescent="0.35">
      <c r="A37" s="335" t="s">
        <v>814</v>
      </c>
      <c r="B37" s="335" t="s">
        <v>170</v>
      </c>
      <c r="C37" s="476" t="s">
        <v>670</v>
      </c>
      <c r="D37" s="327">
        <v>2</v>
      </c>
      <c r="E37" s="469">
        <v>4000</v>
      </c>
      <c r="F37" s="327" t="s">
        <v>171</v>
      </c>
      <c r="G37" s="327" t="s">
        <v>172</v>
      </c>
      <c r="H37" s="327" t="s">
        <v>149</v>
      </c>
      <c r="I37" s="469">
        <f>1936*2</f>
        <v>3872</v>
      </c>
      <c r="J37" s="327" t="s">
        <v>173</v>
      </c>
      <c r="K37" s="469">
        <f>1936*2</f>
        <v>3872</v>
      </c>
      <c r="L37" s="246"/>
      <c r="M37" s="268" t="s">
        <v>1053</v>
      </c>
    </row>
    <row r="38" spans="1:13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autoFilter ref="A8:M37" xr:uid="{5B0D09F1-F760-45DE-BEE6-4A1430370D0C}"/>
  <mergeCells count="41">
    <mergeCell ref="A2:B2"/>
    <mergeCell ref="A5:M5"/>
    <mergeCell ref="A6:E6"/>
    <mergeCell ref="F6:M6"/>
    <mergeCell ref="A7:A8"/>
    <mergeCell ref="B7:B8"/>
    <mergeCell ref="D7:D8"/>
    <mergeCell ref="E7:E8"/>
    <mergeCell ref="F7:I7"/>
    <mergeCell ref="K7:L7"/>
    <mergeCell ref="M7:M8"/>
    <mergeCell ref="C7:C8"/>
    <mergeCell ref="K21:K22"/>
    <mergeCell ref="H21:H22"/>
    <mergeCell ref="G21:G22"/>
    <mergeCell ref="B21:B22"/>
    <mergeCell ref="F21:F22"/>
    <mergeCell ref="K27:K28"/>
    <mergeCell ref="H27:H28"/>
    <mergeCell ref="G27:G28"/>
    <mergeCell ref="F27:F28"/>
    <mergeCell ref="K32:K33"/>
    <mergeCell ref="H32:H33"/>
    <mergeCell ref="G32:G33"/>
    <mergeCell ref="F32:F33"/>
    <mergeCell ref="A27:A28"/>
    <mergeCell ref="J32:J33"/>
    <mergeCell ref="J27:J28"/>
    <mergeCell ref="J21:J22"/>
    <mergeCell ref="C21:C22"/>
    <mergeCell ref="A32:A33"/>
    <mergeCell ref="B27:B28"/>
    <mergeCell ref="D32:D33"/>
    <mergeCell ref="B32:B33"/>
    <mergeCell ref="C27:C28"/>
    <mergeCell ref="C32:C33"/>
    <mergeCell ref="E27:E28"/>
    <mergeCell ref="D27:D28"/>
    <mergeCell ref="E21:E22"/>
    <mergeCell ref="D21:D22"/>
    <mergeCell ref="E32:E33"/>
  </mergeCells>
  <pageMargins left="0.7" right="0.7" top="0.75" bottom="0.75" header="0.3" footer="0.3"/>
  <pageSetup paperSize="9" scale="33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8C8B-717D-4639-8D38-8EE2B0E8A9C0}">
  <sheetPr>
    <tabColor rgb="FF00B0F0"/>
  </sheetPr>
  <dimension ref="A1:M38"/>
  <sheetViews>
    <sheetView view="pageBreakPreview" topLeftCell="A7" zoomScale="60" zoomScaleNormal="80" workbookViewId="0">
      <selection activeCell="D24" sqref="D24"/>
    </sheetView>
  </sheetViews>
  <sheetFormatPr defaultColWidth="9.1796875" defaultRowHeight="14" x14ac:dyDescent="0.35"/>
  <cols>
    <col min="1" max="1" width="29.453125" style="4" customWidth="1"/>
    <col min="2" max="2" width="35.54296875" style="4" customWidth="1"/>
    <col min="3" max="3" width="18.81640625" style="4" customWidth="1"/>
    <col min="4" max="4" width="14.26953125" style="4" customWidth="1"/>
    <col min="5" max="5" width="16.81640625" style="4" customWidth="1"/>
    <col min="6" max="7" width="14.1796875" style="4" customWidth="1"/>
    <col min="8" max="8" width="21" style="4" customWidth="1"/>
    <col min="9" max="10" width="14.26953125" style="4" customWidth="1"/>
    <col min="11" max="11" width="14.54296875" style="4" customWidth="1"/>
    <col min="12" max="12" width="18.54296875" style="4" customWidth="1"/>
    <col min="13" max="13" width="47.54296875" style="4" customWidth="1"/>
    <col min="14" max="16384" width="9.1796875" style="4"/>
  </cols>
  <sheetData>
    <row r="1" spans="1:13" ht="15.5" x14ac:dyDescent="0.35">
      <c r="A1" s="1"/>
      <c r="B1" s="1"/>
      <c r="C1" s="1"/>
      <c r="D1" s="1"/>
      <c r="E1" s="1"/>
      <c r="F1" s="1"/>
      <c r="G1" s="1"/>
      <c r="H1" s="233"/>
      <c r="I1" s="1">
        <f>I37</f>
        <v>1332.63</v>
      </c>
      <c r="J1" s="1"/>
      <c r="K1" s="1"/>
      <c r="L1" s="1"/>
      <c r="M1" s="2"/>
    </row>
    <row r="2" spans="1:13" ht="31.5" customHeight="1" x14ac:dyDescent="0.35">
      <c r="A2" s="741" t="s">
        <v>18</v>
      </c>
      <c r="B2" s="741"/>
      <c r="C2" s="1"/>
      <c r="D2" s="1"/>
      <c r="E2" s="1"/>
      <c r="F2" s="1"/>
      <c r="G2" s="1"/>
      <c r="H2" s="260"/>
      <c r="I2" s="169">
        <f>I18+I29+I31+I33</f>
        <v>70377.350000000006</v>
      </c>
      <c r="J2" s="169"/>
      <c r="K2" s="1"/>
      <c r="L2" s="1"/>
      <c r="M2" s="2"/>
    </row>
    <row r="3" spans="1:13" ht="15.5" x14ac:dyDescent="0.35">
      <c r="A3" s="1"/>
      <c r="B3" s="1"/>
      <c r="C3" s="1"/>
      <c r="D3" s="1"/>
      <c r="E3" s="1"/>
      <c r="F3" s="1"/>
      <c r="G3" s="1"/>
      <c r="H3" s="351"/>
      <c r="I3" s="169">
        <f>I10+I11+I14+I19+I24+I35+I36</f>
        <v>99324.79</v>
      </c>
      <c r="J3" s="169"/>
      <c r="K3" s="1"/>
      <c r="L3" s="1"/>
      <c r="M3" s="2"/>
    </row>
    <row r="4" spans="1:13" ht="17.5" x14ac:dyDescent="0.35">
      <c r="A4" s="650" t="s">
        <v>4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</row>
    <row r="5" spans="1:13" ht="15" x14ac:dyDescent="0.35">
      <c r="A5" s="587" t="s">
        <v>567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</row>
    <row r="6" spans="1:13" ht="15" x14ac:dyDescent="0.35">
      <c r="A6" s="590" t="s">
        <v>575</v>
      </c>
      <c r="B6" s="590" t="s">
        <v>19</v>
      </c>
      <c r="C6" s="590" t="s">
        <v>574</v>
      </c>
      <c r="D6" s="590" t="s">
        <v>6</v>
      </c>
      <c r="E6" s="590" t="s">
        <v>7</v>
      </c>
      <c r="F6" s="587" t="s">
        <v>568</v>
      </c>
      <c r="G6" s="588"/>
      <c r="H6" s="588"/>
      <c r="I6" s="589"/>
      <c r="J6" s="122"/>
      <c r="K6" s="653" t="s">
        <v>847</v>
      </c>
      <c r="L6" s="654"/>
      <c r="M6" s="590" t="s">
        <v>135</v>
      </c>
    </row>
    <row r="7" spans="1:13" ht="30" x14ac:dyDescent="0.35">
      <c r="A7" s="591"/>
      <c r="B7" s="591"/>
      <c r="C7" s="591"/>
      <c r="D7" s="591"/>
      <c r="E7" s="591"/>
      <c r="F7" s="104" t="s">
        <v>8</v>
      </c>
      <c r="G7" s="104" t="s">
        <v>9</v>
      </c>
      <c r="H7" s="104" t="s">
        <v>10</v>
      </c>
      <c r="I7" s="104" t="s">
        <v>11</v>
      </c>
      <c r="J7" s="265"/>
      <c r="K7" s="104" t="s">
        <v>579</v>
      </c>
      <c r="L7" s="104" t="s">
        <v>573</v>
      </c>
      <c r="M7" s="591"/>
    </row>
    <row r="8" spans="1:13" ht="37" x14ac:dyDescent="0.35">
      <c r="A8" s="6"/>
      <c r="B8" s="10" t="s">
        <v>23</v>
      </c>
      <c r="C8" s="10"/>
      <c r="D8" s="7"/>
      <c r="E8" s="9">
        <f>SUM(E9:E37)</f>
        <v>506375.32999999996</v>
      </c>
      <c r="F8" s="7"/>
      <c r="G8" s="7"/>
      <c r="H8" s="7"/>
      <c r="I8" s="9">
        <f>SUM(I9:I37)</f>
        <v>171034.77</v>
      </c>
      <c r="J8" s="9"/>
      <c r="K8" s="9">
        <f>SUM(K9:K37)</f>
        <v>171034.77</v>
      </c>
      <c r="L8" s="7"/>
      <c r="M8" s="7"/>
    </row>
    <row r="9" spans="1:13" ht="15.5" x14ac:dyDescent="0.35">
      <c r="A9" s="8"/>
      <c r="B9" s="190" t="s">
        <v>24</v>
      </c>
      <c r="C9" s="190" t="s">
        <v>669</v>
      </c>
      <c r="D9" s="11">
        <v>3</v>
      </c>
      <c r="E9" s="12">
        <v>130672.74</v>
      </c>
      <c r="F9" s="27"/>
      <c r="G9" s="27"/>
      <c r="H9" s="27"/>
      <c r="I9" s="27"/>
      <c r="J9" s="27"/>
      <c r="K9" s="27"/>
      <c r="L9" s="27"/>
      <c r="M9" s="190"/>
    </row>
    <row r="10" spans="1:13" ht="31" x14ac:dyDescent="0.35">
      <c r="A10" s="479" t="s">
        <v>25</v>
      </c>
      <c r="B10" s="479" t="s">
        <v>25</v>
      </c>
      <c r="C10" s="479" t="s">
        <v>669</v>
      </c>
      <c r="D10" s="283">
        <v>2</v>
      </c>
      <c r="E10" s="480">
        <v>38000</v>
      </c>
      <c r="F10" s="345">
        <v>1063018032</v>
      </c>
      <c r="G10" s="345" t="s">
        <v>993</v>
      </c>
      <c r="H10" s="345" t="s">
        <v>230</v>
      </c>
      <c r="I10" s="345">
        <v>16485.04</v>
      </c>
      <c r="J10" s="345">
        <v>215904</v>
      </c>
      <c r="K10" s="345">
        <v>16485.04</v>
      </c>
      <c r="L10" s="345"/>
      <c r="M10" s="482"/>
    </row>
    <row r="11" spans="1:13" ht="28.5" x14ac:dyDescent="0.35">
      <c r="A11" s="479" t="s">
        <v>26</v>
      </c>
      <c r="B11" s="479" t="s">
        <v>26</v>
      </c>
      <c r="C11" s="479" t="s">
        <v>669</v>
      </c>
      <c r="D11" s="283">
        <v>1</v>
      </c>
      <c r="E11" s="480">
        <v>11952.12</v>
      </c>
      <c r="F11" s="345" t="s">
        <v>1008</v>
      </c>
      <c r="G11" s="345" t="s">
        <v>1007</v>
      </c>
      <c r="H11" s="345" t="s">
        <v>657</v>
      </c>
      <c r="I11" s="345">
        <v>14565.98</v>
      </c>
      <c r="J11" s="345">
        <v>216170</v>
      </c>
      <c r="K11" s="345">
        <v>14565.98</v>
      </c>
      <c r="L11" s="345"/>
      <c r="M11" s="481"/>
    </row>
    <row r="12" spans="1:13" ht="28.5" x14ac:dyDescent="0.35">
      <c r="A12" s="8"/>
      <c r="B12" s="190" t="s">
        <v>27</v>
      </c>
      <c r="C12" s="190" t="s">
        <v>669</v>
      </c>
      <c r="D12" s="11">
        <v>1</v>
      </c>
      <c r="E12" s="12">
        <v>11482.36</v>
      </c>
      <c r="F12" s="27"/>
      <c r="G12" s="27"/>
      <c r="H12" s="27"/>
      <c r="I12" s="27"/>
      <c r="J12" s="27"/>
      <c r="K12" s="27"/>
      <c r="L12" s="27"/>
      <c r="M12" s="191"/>
    </row>
    <row r="13" spans="1:13" ht="15.5" x14ac:dyDescent="0.35">
      <c r="A13" s="8"/>
      <c r="B13" s="190" t="s">
        <v>28</v>
      </c>
      <c r="C13" s="190" t="s">
        <v>669</v>
      </c>
      <c r="D13" s="11">
        <v>1</v>
      </c>
      <c r="E13" s="12">
        <v>8323.7999999999993</v>
      </c>
      <c r="F13" s="27"/>
      <c r="G13" s="27"/>
      <c r="H13" s="27"/>
      <c r="I13" s="27"/>
      <c r="J13" s="27"/>
      <c r="K13" s="27"/>
      <c r="L13" s="27"/>
      <c r="M13" s="190"/>
    </row>
    <row r="14" spans="1:13" ht="15.5" x14ac:dyDescent="0.35">
      <c r="A14" s="479" t="s">
        <v>1092</v>
      </c>
      <c r="B14" s="479" t="s">
        <v>29</v>
      </c>
      <c r="C14" s="479" t="s">
        <v>669</v>
      </c>
      <c r="D14" s="283">
        <v>1</v>
      </c>
      <c r="E14" s="480">
        <v>5677.26</v>
      </c>
      <c r="F14" s="345" t="s">
        <v>1006</v>
      </c>
      <c r="G14" s="345" t="s">
        <v>986</v>
      </c>
      <c r="H14" s="345" t="s">
        <v>525</v>
      </c>
      <c r="I14" s="345">
        <v>5251.4</v>
      </c>
      <c r="J14" s="345">
        <v>215901</v>
      </c>
      <c r="K14" s="345">
        <v>5251.4</v>
      </c>
      <c r="L14" s="345"/>
      <c r="M14" s="482"/>
    </row>
    <row r="15" spans="1:13" ht="15.5" x14ac:dyDescent="0.35">
      <c r="A15" s="8"/>
      <c r="B15" s="190" t="s">
        <v>30</v>
      </c>
      <c r="C15" s="190" t="s">
        <v>669</v>
      </c>
      <c r="D15" s="11">
        <v>2</v>
      </c>
      <c r="E15" s="12">
        <v>10995.96</v>
      </c>
      <c r="F15" s="27"/>
      <c r="G15" s="27"/>
      <c r="H15" s="27"/>
      <c r="I15" s="27"/>
      <c r="J15" s="27"/>
      <c r="K15" s="27"/>
      <c r="L15" s="27"/>
      <c r="M15" s="190"/>
    </row>
    <row r="16" spans="1:13" ht="15.5" x14ac:dyDescent="0.35">
      <c r="A16" s="8"/>
      <c r="B16" s="190" t="s">
        <v>31</v>
      </c>
      <c r="C16" s="190" t="s">
        <v>669</v>
      </c>
      <c r="D16" s="11">
        <v>3</v>
      </c>
      <c r="E16" s="12">
        <v>13500</v>
      </c>
      <c r="F16" s="27"/>
      <c r="G16" s="27"/>
      <c r="H16" s="27"/>
      <c r="I16" s="27"/>
      <c r="J16" s="27"/>
      <c r="K16" s="27"/>
      <c r="L16" s="27"/>
      <c r="M16" s="190"/>
    </row>
    <row r="17" spans="1:13" ht="15.5" x14ac:dyDescent="0.35">
      <c r="A17" s="8"/>
      <c r="B17" s="190" t="s">
        <v>32</v>
      </c>
      <c r="C17" s="190" t="s">
        <v>669</v>
      </c>
      <c r="D17" s="11">
        <v>4</v>
      </c>
      <c r="E17" s="12">
        <v>10551.2</v>
      </c>
      <c r="F17" s="27"/>
      <c r="G17" s="27"/>
      <c r="H17" s="27"/>
      <c r="I17" s="27"/>
      <c r="J17" s="27"/>
      <c r="K17" s="27"/>
      <c r="L17" s="27"/>
      <c r="M17" s="190"/>
    </row>
    <row r="18" spans="1:13" ht="28" x14ac:dyDescent="0.35">
      <c r="A18" s="477" t="s">
        <v>33</v>
      </c>
      <c r="B18" s="477" t="s">
        <v>33</v>
      </c>
      <c r="C18" s="477" t="s">
        <v>669</v>
      </c>
      <c r="D18" s="278">
        <v>5</v>
      </c>
      <c r="E18" s="478">
        <v>7462.6</v>
      </c>
      <c r="F18" s="335" t="s">
        <v>846</v>
      </c>
      <c r="G18" s="335" t="s">
        <v>768</v>
      </c>
      <c r="H18" s="335" t="s">
        <v>845</v>
      </c>
      <c r="I18" s="335">
        <v>5789.85</v>
      </c>
      <c r="J18" s="335">
        <v>215594</v>
      </c>
      <c r="K18" s="335">
        <v>5789.85</v>
      </c>
      <c r="L18" s="335"/>
      <c r="M18" s="268" t="s">
        <v>1053</v>
      </c>
    </row>
    <row r="19" spans="1:13" ht="31" x14ac:dyDescent="0.35">
      <c r="A19" s="345" t="s">
        <v>1057</v>
      </c>
      <c r="B19" s="479" t="s">
        <v>34</v>
      </c>
      <c r="C19" s="479" t="s">
        <v>669</v>
      </c>
      <c r="D19" s="283">
        <v>1</v>
      </c>
      <c r="E19" s="480">
        <v>1300</v>
      </c>
      <c r="F19" s="345" t="s">
        <v>1005</v>
      </c>
      <c r="G19" s="345" t="s">
        <v>1003</v>
      </c>
      <c r="H19" s="345" t="s">
        <v>124</v>
      </c>
      <c r="I19" s="345">
        <v>1331</v>
      </c>
      <c r="J19" s="345">
        <v>216534</v>
      </c>
      <c r="K19" s="345">
        <v>1331</v>
      </c>
      <c r="L19" s="345"/>
      <c r="M19" s="479"/>
    </row>
    <row r="20" spans="1:13" ht="15.5" x14ac:dyDescent="0.35">
      <c r="A20" s="8"/>
      <c r="B20" s="190" t="s">
        <v>35</v>
      </c>
      <c r="C20" s="190" t="s">
        <v>669</v>
      </c>
      <c r="D20" s="11">
        <v>3</v>
      </c>
      <c r="E20" s="12">
        <v>3899.37</v>
      </c>
      <c r="F20" s="27"/>
      <c r="G20" s="27"/>
      <c r="H20" s="27"/>
      <c r="I20" s="27"/>
      <c r="J20" s="27"/>
      <c r="K20" s="27"/>
      <c r="L20" s="27"/>
      <c r="M20" s="190"/>
    </row>
    <row r="21" spans="1:13" ht="15.5" x14ac:dyDescent="0.35">
      <c r="A21" s="8"/>
      <c r="B21" s="190" t="s">
        <v>36</v>
      </c>
      <c r="C21" s="190" t="s">
        <v>669</v>
      </c>
      <c r="D21" s="11">
        <v>1</v>
      </c>
      <c r="E21" s="12">
        <v>1165.33</v>
      </c>
      <c r="F21" s="27"/>
      <c r="G21" s="27"/>
      <c r="H21" s="27"/>
      <c r="I21" s="27"/>
      <c r="J21" s="27"/>
      <c r="K21" s="27"/>
      <c r="L21" s="27"/>
      <c r="M21" s="190"/>
    </row>
    <row r="22" spans="1:13" ht="15.5" x14ac:dyDescent="0.35">
      <c r="A22" s="8"/>
      <c r="B22" s="190" t="s">
        <v>37</v>
      </c>
      <c r="C22" s="190" t="s">
        <v>669</v>
      </c>
      <c r="D22" s="11">
        <v>2</v>
      </c>
      <c r="E22" s="12">
        <v>2196.1999999999998</v>
      </c>
      <c r="F22" s="27"/>
      <c r="G22" s="27"/>
      <c r="H22" s="27"/>
      <c r="I22" s="27"/>
      <c r="J22" s="27"/>
      <c r="K22" s="27"/>
      <c r="L22" s="27"/>
      <c r="M22" s="190"/>
    </row>
    <row r="23" spans="1:13" ht="15.5" x14ac:dyDescent="0.35">
      <c r="A23" s="8"/>
      <c r="B23" s="190" t="s">
        <v>38</v>
      </c>
      <c r="C23" s="190" t="s">
        <v>669</v>
      </c>
      <c r="D23" s="11">
        <v>5</v>
      </c>
      <c r="E23" s="12">
        <v>3361.5499999999997</v>
      </c>
      <c r="F23" s="27"/>
      <c r="G23" s="27"/>
      <c r="H23" s="27"/>
      <c r="I23" s="27"/>
      <c r="J23" s="27"/>
      <c r="K23" s="27"/>
      <c r="L23" s="27"/>
      <c r="M23" s="190"/>
    </row>
    <row r="24" spans="1:13" ht="31" x14ac:dyDescent="0.35">
      <c r="A24" s="345" t="s">
        <v>1056</v>
      </c>
      <c r="B24" s="479" t="s">
        <v>39</v>
      </c>
      <c r="C24" s="479" t="s">
        <v>669</v>
      </c>
      <c r="D24" s="283">
        <v>1</v>
      </c>
      <c r="E24" s="480">
        <v>49489</v>
      </c>
      <c r="F24" s="345" t="s">
        <v>1004</v>
      </c>
      <c r="G24" s="345" t="s">
        <v>1003</v>
      </c>
      <c r="H24" s="345" t="s">
        <v>124</v>
      </c>
      <c r="I24" s="345">
        <v>49973</v>
      </c>
      <c r="J24" s="345">
        <v>216535</v>
      </c>
      <c r="K24" s="345">
        <v>49973</v>
      </c>
      <c r="L24" s="345"/>
      <c r="M24" s="481"/>
    </row>
    <row r="25" spans="1:13" ht="28.5" x14ac:dyDescent="0.35">
      <c r="A25" s="8"/>
      <c r="B25" s="190" t="s">
        <v>40</v>
      </c>
      <c r="C25" s="190" t="s">
        <v>669</v>
      </c>
      <c r="D25" s="11">
        <v>4</v>
      </c>
      <c r="E25" s="12">
        <v>62748.639999999999</v>
      </c>
      <c r="F25" s="27"/>
      <c r="G25" s="27"/>
      <c r="H25" s="27"/>
      <c r="I25" s="27"/>
      <c r="J25" s="27"/>
      <c r="K25" s="27"/>
      <c r="L25" s="27"/>
      <c r="M25" s="190"/>
    </row>
    <row r="26" spans="1:13" ht="28.5" x14ac:dyDescent="0.35">
      <c r="A26" s="8"/>
      <c r="B26" s="190" t="s">
        <v>41</v>
      </c>
      <c r="C26" s="190" t="s">
        <v>669</v>
      </c>
      <c r="D26" s="11">
        <v>1</v>
      </c>
      <c r="E26" s="12">
        <v>13876.42</v>
      </c>
      <c r="F26" s="27"/>
      <c r="G26" s="27"/>
      <c r="H26" s="27"/>
      <c r="I26" s="27"/>
      <c r="J26" s="27"/>
      <c r="K26" s="27"/>
      <c r="L26" s="27"/>
      <c r="M26" s="191"/>
    </row>
    <row r="27" spans="1:13" ht="15.5" x14ac:dyDescent="0.35">
      <c r="A27" s="8"/>
      <c r="B27" s="190" t="s">
        <v>42</v>
      </c>
      <c r="C27" s="190" t="s">
        <v>669</v>
      </c>
      <c r="D27" s="11">
        <v>1</v>
      </c>
      <c r="E27" s="12">
        <v>9635.23</v>
      </c>
      <c r="F27" s="27"/>
      <c r="G27" s="27"/>
      <c r="H27" s="27"/>
      <c r="I27" s="27"/>
      <c r="J27" s="27"/>
      <c r="K27" s="27"/>
      <c r="L27" s="27"/>
      <c r="M27" s="191"/>
    </row>
    <row r="28" spans="1:13" ht="15.5" x14ac:dyDescent="0.35">
      <c r="A28" s="8"/>
      <c r="B28" s="190" t="s">
        <v>43</v>
      </c>
      <c r="C28" s="190" t="s">
        <v>669</v>
      </c>
      <c r="D28" s="11">
        <v>1</v>
      </c>
      <c r="E28" s="12">
        <v>9489.83</v>
      </c>
      <c r="F28" s="27"/>
      <c r="G28" s="27"/>
      <c r="H28" s="27"/>
      <c r="I28" s="27"/>
      <c r="J28" s="27"/>
      <c r="K28" s="27"/>
      <c r="L28" s="27"/>
      <c r="M28" s="190"/>
    </row>
    <row r="29" spans="1:13" ht="31" x14ac:dyDescent="0.35">
      <c r="A29" s="335" t="s">
        <v>797</v>
      </c>
      <c r="B29" s="477" t="s">
        <v>44</v>
      </c>
      <c r="C29" s="477" t="s">
        <v>669</v>
      </c>
      <c r="D29" s="278">
        <v>10</v>
      </c>
      <c r="E29" s="478">
        <v>42106.2</v>
      </c>
      <c r="F29" s="335" t="s">
        <v>844</v>
      </c>
      <c r="G29" s="335" t="s">
        <v>841</v>
      </c>
      <c r="H29" s="335" t="s">
        <v>247</v>
      </c>
      <c r="I29" s="335">
        <v>39930</v>
      </c>
      <c r="J29" s="335">
        <v>215535</v>
      </c>
      <c r="K29" s="335">
        <v>39930</v>
      </c>
      <c r="L29" s="335"/>
      <c r="M29" s="268" t="s">
        <v>1053</v>
      </c>
    </row>
    <row r="30" spans="1:13" ht="15.5" x14ac:dyDescent="0.35">
      <c r="A30" s="8"/>
      <c r="B30" s="190" t="s">
        <v>45</v>
      </c>
      <c r="C30" s="190" t="s">
        <v>669</v>
      </c>
      <c r="D30" s="11">
        <v>5</v>
      </c>
      <c r="E30" s="12">
        <v>10340.799999999999</v>
      </c>
      <c r="F30" s="27"/>
      <c r="G30" s="27"/>
      <c r="H30" s="27"/>
      <c r="I30" s="27"/>
      <c r="J30" s="27"/>
      <c r="K30" s="27"/>
      <c r="L30" s="27"/>
      <c r="M30" s="190"/>
    </row>
    <row r="31" spans="1:13" ht="31" x14ac:dyDescent="0.35">
      <c r="A31" s="335" t="s">
        <v>20</v>
      </c>
      <c r="B31" s="477" t="s">
        <v>20</v>
      </c>
      <c r="C31" s="477" t="s">
        <v>669</v>
      </c>
      <c r="D31" s="278">
        <v>5</v>
      </c>
      <c r="E31" s="478">
        <v>5808</v>
      </c>
      <c r="F31" s="335" t="s">
        <v>843</v>
      </c>
      <c r="G31" s="335" t="s">
        <v>841</v>
      </c>
      <c r="H31" s="335" t="s">
        <v>247</v>
      </c>
      <c r="I31" s="335">
        <v>5747.5</v>
      </c>
      <c r="J31" s="335">
        <v>215535</v>
      </c>
      <c r="K31" s="335">
        <v>5747.5</v>
      </c>
      <c r="L31" s="335"/>
      <c r="M31" s="268" t="s">
        <v>1053</v>
      </c>
    </row>
    <row r="32" spans="1:13" ht="15.5" x14ac:dyDescent="0.35">
      <c r="A32" s="8"/>
      <c r="B32" s="190" t="s">
        <v>46</v>
      </c>
      <c r="C32" s="190" t="s">
        <v>669</v>
      </c>
      <c r="D32" s="11">
        <v>1</v>
      </c>
      <c r="E32" s="12">
        <v>575.96</v>
      </c>
      <c r="F32" s="27"/>
      <c r="G32" s="27"/>
      <c r="H32" s="27"/>
      <c r="I32" s="27"/>
      <c r="J32" s="27"/>
      <c r="K32" s="27"/>
      <c r="L32" s="27"/>
      <c r="M32" s="190"/>
    </row>
    <row r="33" spans="1:13" ht="31" x14ac:dyDescent="0.35">
      <c r="A33" s="335" t="s">
        <v>849</v>
      </c>
      <c r="B33" s="477" t="s">
        <v>47</v>
      </c>
      <c r="C33" s="477" t="s">
        <v>670</v>
      </c>
      <c r="D33" s="278">
        <v>1</v>
      </c>
      <c r="E33" s="478">
        <v>22784</v>
      </c>
      <c r="F33" s="335" t="s">
        <v>842</v>
      </c>
      <c r="G33" s="335" t="s">
        <v>841</v>
      </c>
      <c r="H33" s="335" t="s">
        <v>247</v>
      </c>
      <c r="I33" s="335">
        <v>18910</v>
      </c>
      <c r="J33" s="335">
        <v>215535</v>
      </c>
      <c r="K33" s="335">
        <v>18910</v>
      </c>
      <c r="L33" s="335"/>
      <c r="M33" s="268" t="s">
        <v>1053</v>
      </c>
    </row>
    <row r="34" spans="1:13" ht="42.5" x14ac:dyDescent="0.35">
      <c r="A34" s="8"/>
      <c r="B34" s="190" t="s">
        <v>48</v>
      </c>
      <c r="C34" s="190" t="s">
        <v>670</v>
      </c>
      <c r="D34" s="11">
        <v>3</v>
      </c>
      <c r="E34" s="12">
        <v>3608.2200000000003</v>
      </c>
      <c r="F34" s="27"/>
      <c r="G34" s="27"/>
      <c r="H34" s="27"/>
      <c r="I34" s="27"/>
      <c r="J34" s="27"/>
      <c r="K34" s="27"/>
      <c r="L34" s="27"/>
      <c r="M34" s="190"/>
    </row>
    <row r="35" spans="1:13" ht="42.5" x14ac:dyDescent="0.35">
      <c r="A35" s="345" t="s">
        <v>1058</v>
      </c>
      <c r="B35" s="479" t="s">
        <v>49</v>
      </c>
      <c r="C35" s="479" t="s">
        <v>670</v>
      </c>
      <c r="D35" s="283">
        <v>2</v>
      </c>
      <c r="E35" s="480">
        <v>10752.54</v>
      </c>
      <c r="F35" s="345" t="s">
        <v>1002</v>
      </c>
      <c r="G35" s="345" t="s">
        <v>993</v>
      </c>
      <c r="H35" s="345" t="s">
        <v>124</v>
      </c>
      <c r="I35" s="345">
        <v>11022.62</v>
      </c>
      <c r="J35" s="345">
        <v>216172</v>
      </c>
      <c r="K35" s="345">
        <v>11022.62</v>
      </c>
      <c r="L35" s="345"/>
      <c r="M35" s="481"/>
    </row>
    <row r="36" spans="1:13" ht="31" x14ac:dyDescent="0.35">
      <c r="A36" s="345" t="s">
        <v>1091</v>
      </c>
      <c r="B36" s="479" t="s">
        <v>50</v>
      </c>
      <c r="C36" s="479" t="s">
        <v>670</v>
      </c>
      <c r="D36" s="283">
        <v>1</v>
      </c>
      <c r="E36" s="480">
        <v>472</v>
      </c>
      <c r="F36" s="345" t="s">
        <v>1001</v>
      </c>
      <c r="G36" s="345" t="s">
        <v>1000</v>
      </c>
      <c r="H36" s="345" t="s">
        <v>845</v>
      </c>
      <c r="I36" s="345">
        <v>695.75</v>
      </c>
      <c r="J36" s="345">
        <v>215902</v>
      </c>
      <c r="K36" s="345">
        <v>695.75</v>
      </c>
      <c r="L36" s="345"/>
      <c r="M36" s="482"/>
    </row>
    <row r="37" spans="1:13" ht="46.5" x14ac:dyDescent="0.3">
      <c r="A37" s="236" t="s">
        <v>848</v>
      </c>
      <c r="B37" s="483" t="s">
        <v>51</v>
      </c>
      <c r="C37" s="484" t="s">
        <v>670</v>
      </c>
      <c r="D37" s="485">
        <v>4</v>
      </c>
      <c r="E37" s="486">
        <v>4148</v>
      </c>
      <c r="F37" s="236" t="s">
        <v>52</v>
      </c>
      <c r="G37" s="236" t="s">
        <v>53</v>
      </c>
      <c r="H37" s="236" t="s">
        <v>54</v>
      </c>
      <c r="I37" s="236">
        <v>1332.63</v>
      </c>
      <c r="J37" s="236"/>
      <c r="K37" s="236">
        <v>1332.63</v>
      </c>
      <c r="L37" s="236"/>
      <c r="M37" s="359"/>
    </row>
    <row r="38" spans="1:13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autoFilter ref="A7:M37" xr:uid="{382FD33B-AF40-478B-8C50-C50DD5993BA3}"/>
  <mergeCells count="12">
    <mergeCell ref="A2:B2"/>
    <mergeCell ref="M6:M7"/>
    <mergeCell ref="C6:C7"/>
    <mergeCell ref="A4:M4"/>
    <mergeCell ref="A5:E5"/>
    <mergeCell ref="F5:M5"/>
    <mergeCell ref="A6:A7"/>
    <mergeCell ref="B6:B7"/>
    <mergeCell ref="D6:D7"/>
    <mergeCell ref="E6:E7"/>
    <mergeCell ref="F6:I6"/>
    <mergeCell ref="K6:L6"/>
  </mergeCells>
  <pageMargins left="0.7" right="0.7" top="0.75" bottom="0.75" header="0.3" footer="0.3"/>
  <pageSetup paperSize="9" scale="32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55EE-A779-4A6A-B8DB-4FD50F8CF10B}">
  <sheetPr>
    <tabColor rgb="FF00B0F0"/>
  </sheetPr>
  <dimension ref="A1:N37"/>
  <sheetViews>
    <sheetView view="pageBreakPreview" zoomScale="60" zoomScaleNormal="80" workbookViewId="0">
      <selection activeCell="B13" sqref="B13:E13"/>
    </sheetView>
  </sheetViews>
  <sheetFormatPr defaultRowHeight="14.5" x14ac:dyDescent="0.35"/>
  <cols>
    <col min="1" max="1" width="24.7265625" customWidth="1"/>
    <col min="2" max="2" width="38.26953125" customWidth="1"/>
    <col min="3" max="3" width="26.7265625" customWidth="1"/>
    <col min="4" max="4" width="12" customWidth="1"/>
    <col min="5" max="5" width="16" customWidth="1"/>
    <col min="6" max="6" width="19.7265625" customWidth="1"/>
    <col min="7" max="7" width="13.453125" customWidth="1"/>
    <col min="8" max="8" width="18.7265625" customWidth="1"/>
    <col min="9" max="10" width="15.26953125" customWidth="1"/>
    <col min="11" max="11" width="17.26953125" customWidth="1"/>
    <col min="12" max="12" width="14" customWidth="1"/>
    <col min="13" max="13" width="28.7265625" customWidth="1"/>
  </cols>
  <sheetData>
    <row r="1" spans="1:14" s="4" customFormat="1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</row>
    <row r="2" spans="1:14" s="4" customFormat="1" ht="15.5" x14ac:dyDescent="0.35">
      <c r="A2" s="741" t="s">
        <v>863</v>
      </c>
      <c r="B2" s="741"/>
      <c r="C2" s="105"/>
      <c r="D2" s="1"/>
      <c r="E2" s="1"/>
      <c r="F2" s="1"/>
      <c r="G2" s="1"/>
      <c r="H2" s="260"/>
      <c r="I2" s="192">
        <f>I11+I12+I15+I16+I21+I26+I28+I30+I33+I34+I36</f>
        <v>91970.89</v>
      </c>
      <c r="J2" s="192"/>
      <c r="K2" s="1"/>
      <c r="L2" s="1"/>
      <c r="M2" s="2"/>
      <c r="N2" s="3"/>
    </row>
    <row r="3" spans="1:14" s="4" customFormat="1" ht="15.5" x14ac:dyDescent="0.35">
      <c r="A3" s="1"/>
      <c r="B3" s="1"/>
      <c r="C3" s="1"/>
      <c r="D3" s="1"/>
      <c r="E3" s="1"/>
      <c r="F3" s="1"/>
      <c r="G3" s="1"/>
      <c r="H3" s="351"/>
      <c r="I3" s="192">
        <f>I9+I10+I13+I14+I17+L18+I19+I20+I22+I24+I25+I27+I29+I31+L32+L35+I37</f>
        <v>104492.61</v>
      </c>
      <c r="J3" s="192"/>
      <c r="K3" s="1"/>
      <c r="L3" s="1"/>
      <c r="M3" s="2"/>
      <c r="N3" s="3"/>
    </row>
    <row r="4" spans="1:14" s="4" customFormat="1" ht="17.5" x14ac:dyDescent="0.35">
      <c r="A4" s="650" t="s">
        <v>4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  <c r="N4" s="3"/>
    </row>
    <row r="5" spans="1:14" s="4" customFormat="1" ht="15" x14ac:dyDescent="0.35">
      <c r="A5" s="587" t="s">
        <v>132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  <c r="N5" s="3"/>
    </row>
    <row r="6" spans="1:14" s="4" customFormat="1" ht="15" x14ac:dyDescent="0.35">
      <c r="A6" s="590" t="s">
        <v>575</v>
      </c>
      <c r="B6" s="590" t="s">
        <v>133</v>
      </c>
      <c r="C6" s="590" t="s">
        <v>574</v>
      </c>
      <c r="D6" s="590" t="s">
        <v>6</v>
      </c>
      <c r="E6" s="590" t="s">
        <v>7</v>
      </c>
      <c r="F6" s="587" t="s">
        <v>134</v>
      </c>
      <c r="G6" s="588"/>
      <c r="H6" s="588"/>
      <c r="I6" s="589"/>
      <c r="J6" s="122"/>
      <c r="K6" s="653" t="s">
        <v>830</v>
      </c>
      <c r="L6" s="654"/>
      <c r="M6" s="590" t="s">
        <v>135</v>
      </c>
      <c r="N6" s="3"/>
    </row>
    <row r="7" spans="1:14" s="4" customFormat="1" ht="30" x14ac:dyDescent="0.35">
      <c r="A7" s="591"/>
      <c r="B7" s="591"/>
      <c r="C7" s="591"/>
      <c r="D7" s="591"/>
      <c r="E7" s="591"/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659</v>
      </c>
      <c r="K7" s="104" t="s">
        <v>579</v>
      </c>
      <c r="L7" s="104" t="s">
        <v>573</v>
      </c>
      <c r="M7" s="591"/>
      <c r="N7" s="3"/>
    </row>
    <row r="8" spans="1:14" s="4" customFormat="1" ht="15" x14ac:dyDescent="0.35">
      <c r="A8" s="6"/>
      <c r="B8" s="6" t="s">
        <v>12</v>
      </c>
      <c r="C8" s="86"/>
      <c r="D8" s="49"/>
      <c r="E8" s="54">
        <f>SUM(E9:E37)</f>
        <v>355107</v>
      </c>
      <c r="F8" s="49"/>
      <c r="G8" s="7"/>
      <c r="H8" s="7"/>
      <c r="I8" s="54">
        <f>SUM(I9:I37)</f>
        <v>196463.50000000003</v>
      </c>
      <c r="J8" s="54"/>
      <c r="K8" s="54">
        <f>SUM(K9:K37)</f>
        <v>186460.43000000002</v>
      </c>
      <c r="L8" s="54">
        <f>SUM(L9:L33)</f>
        <v>8248.57</v>
      </c>
      <c r="M8" s="7"/>
      <c r="N8" s="3"/>
    </row>
    <row r="9" spans="1:14" s="4" customFormat="1" ht="15.5" x14ac:dyDescent="0.35">
      <c r="A9" s="496" t="s">
        <v>24</v>
      </c>
      <c r="B9" s="496" t="s">
        <v>24</v>
      </c>
      <c r="C9" s="496" t="s">
        <v>669</v>
      </c>
      <c r="D9" s="290">
        <v>1</v>
      </c>
      <c r="E9" s="291">
        <v>43558</v>
      </c>
      <c r="F9" s="497" t="s">
        <v>1032</v>
      </c>
      <c r="G9" s="498" t="s">
        <v>1031</v>
      </c>
      <c r="H9" s="336" t="s">
        <v>176</v>
      </c>
      <c r="I9" s="499">
        <v>40172</v>
      </c>
      <c r="J9" s="336" t="s">
        <v>1030</v>
      </c>
      <c r="K9" s="499">
        <f t="shared" ref="K9:K22" si="0">I9</f>
        <v>40172</v>
      </c>
      <c r="L9" s="499"/>
      <c r="M9" s="345"/>
      <c r="N9" s="3"/>
    </row>
    <row r="10" spans="1:14" ht="31" x14ac:dyDescent="0.35">
      <c r="A10" s="496" t="s">
        <v>25</v>
      </c>
      <c r="B10" s="496" t="s">
        <v>25</v>
      </c>
      <c r="C10" s="496" t="s">
        <v>669</v>
      </c>
      <c r="D10" s="290">
        <v>1</v>
      </c>
      <c r="E10" s="291">
        <v>19000</v>
      </c>
      <c r="F10" s="497">
        <v>1063017906</v>
      </c>
      <c r="G10" s="498" t="s">
        <v>1039</v>
      </c>
      <c r="H10" s="336" t="s">
        <v>230</v>
      </c>
      <c r="I10" s="499">
        <v>7950.34</v>
      </c>
      <c r="J10" s="336" t="s">
        <v>1038</v>
      </c>
      <c r="K10" s="499">
        <f t="shared" si="0"/>
        <v>7950.34</v>
      </c>
      <c r="L10" s="499"/>
      <c r="M10" s="345"/>
    </row>
    <row r="11" spans="1:14" ht="42" x14ac:dyDescent="0.35">
      <c r="A11" s="487" t="s">
        <v>865</v>
      </c>
      <c r="B11" s="488" t="s">
        <v>83</v>
      </c>
      <c r="C11" s="489" t="s">
        <v>669</v>
      </c>
      <c r="D11" s="285">
        <v>4</v>
      </c>
      <c r="E11" s="286">
        <v>89907</v>
      </c>
      <c r="F11" s="490" t="s">
        <v>855</v>
      </c>
      <c r="G11" s="491" t="s">
        <v>816</v>
      </c>
      <c r="H11" s="327" t="s">
        <v>854</v>
      </c>
      <c r="I11" s="469">
        <v>11819.28</v>
      </c>
      <c r="J11" s="327" t="s">
        <v>1019</v>
      </c>
      <c r="K11" s="469">
        <f t="shared" si="0"/>
        <v>11819.28</v>
      </c>
      <c r="L11" s="469"/>
      <c r="M11" s="268" t="s">
        <v>1053</v>
      </c>
    </row>
    <row r="12" spans="1:14" ht="42" x14ac:dyDescent="0.35">
      <c r="A12" s="487" t="s">
        <v>866</v>
      </c>
      <c r="B12" s="489" t="s">
        <v>141</v>
      </c>
      <c r="C12" s="489" t="s">
        <v>669</v>
      </c>
      <c r="D12" s="285">
        <v>1</v>
      </c>
      <c r="E12" s="286">
        <v>18910</v>
      </c>
      <c r="F12" s="492" t="s">
        <v>862</v>
      </c>
      <c r="G12" s="491" t="s">
        <v>861</v>
      </c>
      <c r="H12" s="327" t="s">
        <v>448</v>
      </c>
      <c r="I12" s="469">
        <v>19904.5</v>
      </c>
      <c r="J12" s="327" t="s">
        <v>1037</v>
      </c>
      <c r="K12" s="469">
        <f t="shared" si="0"/>
        <v>19904.5</v>
      </c>
      <c r="L12" s="469"/>
      <c r="M12" s="268" t="s">
        <v>1053</v>
      </c>
    </row>
    <row r="13" spans="1:14" ht="15.5" x14ac:dyDescent="0.35">
      <c r="A13" s="495"/>
      <c r="B13" s="568" t="s">
        <v>463</v>
      </c>
      <c r="C13" s="568" t="s">
        <v>669</v>
      </c>
      <c r="D13" s="569">
        <v>1</v>
      </c>
      <c r="E13" s="570">
        <v>13736</v>
      </c>
      <c r="F13" s="563"/>
      <c r="G13" s="564"/>
      <c r="H13" s="541"/>
      <c r="I13" s="565"/>
      <c r="J13" s="541"/>
      <c r="K13" s="565"/>
      <c r="L13" s="565"/>
      <c r="M13" s="345"/>
    </row>
    <row r="14" spans="1:14" ht="15.5" x14ac:dyDescent="0.35">
      <c r="A14" s="496" t="s">
        <v>26</v>
      </c>
      <c r="B14" s="496" t="s">
        <v>26</v>
      </c>
      <c r="C14" s="496" t="s">
        <v>669</v>
      </c>
      <c r="D14" s="290">
        <v>1</v>
      </c>
      <c r="E14" s="291">
        <v>11952</v>
      </c>
      <c r="F14" s="500" t="s">
        <v>1036</v>
      </c>
      <c r="G14" s="498" t="s">
        <v>841</v>
      </c>
      <c r="H14" s="336" t="s">
        <v>992</v>
      </c>
      <c r="I14" s="499">
        <v>2976.6</v>
      </c>
      <c r="J14" s="336" t="s">
        <v>1009</v>
      </c>
      <c r="K14" s="499">
        <f t="shared" si="0"/>
        <v>2976.6</v>
      </c>
      <c r="L14" s="499"/>
      <c r="M14" s="345"/>
    </row>
    <row r="15" spans="1:14" ht="42" x14ac:dyDescent="0.35">
      <c r="A15" s="489" t="s">
        <v>246</v>
      </c>
      <c r="B15" s="489" t="s">
        <v>246</v>
      </c>
      <c r="C15" s="489" t="s">
        <v>669</v>
      </c>
      <c r="D15" s="285">
        <v>3</v>
      </c>
      <c r="E15" s="286">
        <v>35807</v>
      </c>
      <c r="F15" s="492" t="s">
        <v>860</v>
      </c>
      <c r="G15" s="493" t="s">
        <v>484</v>
      </c>
      <c r="H15" s="327" t="s">
        <v>448</v>
      </c>
      <c r="I15" s="469">
        <v>27588</v>
      </c>
      <c r="J15" s="327" t="s">
        <v>1035</v>
      </c>
      <c r="K15" s="469">
        <f t="shared" si="0"/>
        <v>27588</v>
      </c>
      <c r="L15" s="469"/>
      <c r="M15" s="268" t="s">
        <v>1053</v>
      </c>
    </row>
    <row r="16" spans="1:14" ht="46.5" x14ac:dyDescent="0.35">
      <c r="A16" s="487" t="s">
        <v>870</v>
      </c>
      <c r="B16" s="488" t="s">
        <v>27</v>
      </c>
      <c r="C16" s="489" t="s">
        <v>669</v>
      </c>
      <c r="D16" s="285">
        <v>1</v>
      </c>
      <c r="E16" s="286">
        <v>11482</v>
      </c>
      <c r="F16" s="492" t="s">
        <v>859</v>
      </c>
      <c r="G16" s="493" t="s">
        <v>824</v>
      </c>
      <c r="H16" s="327" t="s">
        <v>565</v>
      </c>
      <c r="I16" s="469">
        <v>10950.5</v>
      </c>
      <c r="J16" s="327" t="s">
        <v>1027</v>
      </c>
      <c r="K16" s="469">
        <f t="shared" si="0"/>
        <v>10950.5</v>
      </c>
      <c r="L16" s="469"/>
      <c r="M16" s="268" t="s">
        <v>1053</v>
      </c>
    </row>
    <row r="17" spans="1:13" ht="46.5" x14ac:dyDescent="0.35">
      <c r="A17" s="496" t="s">
        <v>146</v>
      </c>
      <c r="B17" s="496" t="s">
        <v>146</v>
      </c>
      <c r="C17" s="496" t="s">
        <v>669</v>
      </c>
      <c r="D17" s="290">
        <v>1</v>
      </c>
      <c r="E17" s="291">
        <v>8722</v>
      </c>
      <c r="F17" s="497" t="s">
        <v>1018</v>
      </c>
      <c r="G17" s="498" t="s">
        <v>986</v>
      </c>
      <c r="H17" s="336" t="s">
        <v>1017</v>
      </c>
      <c r="I17" s="499">
        <v>9522.7000000000007</v>
      </c>
      <c r="J17" s="336" t="s">
        <v>1016</v>
      </c>
      <c r="K17" s="499">
        <f t="shared" si="0"/>
        <v>9522.7000000000007</v>
      </c>
      <c r="L17" s="499"/>
      <c r="M17" s="345"/>
    </row>
    <row r="18" spans="1:13" ht="31" x14ac:dyDescent="0.35">
      <c r="A18" s="495" t="s">
        <v>1095</v>
      </c>
      <c r="B18" s="501" t="s">
        <v>150</v>
      </c>
      <c r="C18" s="496" t="s">
        <v>669</v>
      </c>
      <c r="D18" s="290">
        <v>1</v>
      </c>
      <c r="E18" s="291">
        <v>7186</v>
      </c>
      <c r="F18" s="497" t="s">
        <v>1034</v>
      </c>
      <c r="G18" s="498" t="s">
        <v>1033</v>
      </c>
      <c r="H18" s="336" t="s">
        <v>565</v>
      </c>
      <c r="I18" s="499">
        <v>7186.19</v>
      </c>
      <c r="J18" s="336"/>
      <c r="K18" s="499"/>
      <c r="L18" s="499">
        <v>7186.19</v>
      </c>
      <c r="M18" s="345"/>
    </row>
    <row r="19" spans="1:13" ht="46.5" x14ac:dyDescent="0.35">
      <c r="A19" s="501" t="s">
        <v>153</v>
      </c>
      <c r="B19" s="501" t="s">
        <v>153</v>
      </c>
      <c r="C19" s="496" t="s">
        <v>669</v>
      </c>
      <c r="D19" s="290">
        <v>1</v>
      </c>
      <c r="E19" s="291">
        <v>6403</v>
      </c>
      <c r="F19" s="497" t="s">
        <v>1032</v>
      </c>
      <c r="G19" s="498" t="s">
        <v>1031</v>
      </c>
      <c r="H19" s="336" t="s">
        <v>176</v>
      </c>
      <c r="I19" s="499">
        <v>12826</v>
      </c>
      <c r="J19" s="336" t="s">
        <v>1030</v>
      </c>
      <c r="K19" s="499">
        <f t="shared" si="0"/>
        <v>12826</v>
      </c>
      <c r="L19" s="499"/>
      <c r="M19" s="345"/>
    </row>
    <row r="20" spans="1:13" ht="15.5" x14ac:dyDescent="0.35">
      <c r="A20" s="496" t="s">
        <v>30</v>
      </c>
      <c r="B20" s="496" t="s">
        <v>30</v>
      </c>
      <c r="C20" s="496" t="s">
        <v>669</v>
      </c>
      <c r="D20" s="290">
        <v>1</v>
      </c>
      <c r="E20" s="291">
        <v>5498</v>
      </c>
      <c r="F20" s="497" t="s">
        <v>1010</v>
      </c>
      <c r="G20" s="498" t="s">
        <v>841</v>
      </c>
      <c r="H20" s="336" t="s">
        <v>992</v>
      </c>
      <c r="I20" s="499">
        <v>629.20000000000005</v>
      </c>
      <c r="J20" s="336" t="s">
        <v>1009</v>
      </c>
      <c r="K20" s="499">
        <f t="shared" si="0"/>
        <v>629.20000000000005</v>
      </c>
      <c r="L20" s="499"/>
      <c r="M20" s="345"/>
    </row>
    <row r="21" spans="1:13" ht="42" x14ac:dyDescent="0.35">
      <c r="A21" s="487" t="s">
        <v>868</v>
      </c>
      <c r="B21" s="489" t="s">
        <v>31</v>
      </c>
      <c r="C21" s="489" t="s">
        <v>669</v>
      </c>
      <c r="D21" s="285">
        <v>1</v>
      </c>
      <c r="E21" s="286">
        <v>4500</v>
      </c>
      <c r="F21" s="492" t="s">
        <v>858</v>
      </c>
      <c r="G21" s="493" t="s">
        <v>857</v>
      </c>
      <c r="H21" s="327" t="s">
        <v>565</v>
      </c>
      <c r="I21" s="469">
        <v>9828.83</v>
      </c>
      <c r="J21" s="327" t="s">
        <v>1029</v>
      </c>
      <c r="K21" s="469">
        <f t="shared" si="0"/>
        <v>9828.83</v>
      </c>
      <c r="L21" s="469"/>
      <c r="M21" s="268" t="s">
        <v>1053</v>
      </c>
    </row>
    <row r="22" spans="1:13" ht="15.5" x14ac:dyDescent="0.35">
      <c r="A22" s="496" t="s">
        <v>84</v>
      </c>
      <c r="B22" s="496" t="s">
        <v>84</v>
      </c>
      <c r="C22" s="496" t="s">
        <v>669</v>
      </c>
      <c r="D22" s="290">
        <v>2</v>
      </c>
      <c r="E22" s="291">
        <v>6252</v>
      </c>
      <c r="F22" s="497" t="s">
        <v>1010</v>
      </c>
      <c r="G22" s="498" t="s">
        <v>841</v>
      </c>
      <c r="H22" s="336" t="s">
        <v>992</v>
      </c>
      <c r="I22" s="499">
        <v>3339.6</v>
      </c>
      <c r="J22" s="336" t="s">
        <v>1009</v>
      </c>
      <c r="K22" s="499">
        <f t="shared" si="0"/>
        <v>3339.6</v>
      </c>
      <c r="L22" s="499"/>
      <c r="M22" s="345"/>
    </row>
    <row r="23" spans="1:13" ht="15.5" x14ac:dyDescent="0.35">
      <c r="A23" s="48"/>
      <c r="B23" s="53" t="s">
        <v>32</v>
      </c>
      <c r="C23" s="50" t="s">
        <v>669</v>
      </c>
      <c r="D23" s="51">
        <v>1</v>
      </c>
      <c r="E23" s="193">
        <v>2638</v>
      </c>
      <c r="F23" s="155"/>
      <c r="G23" s="154"/>
      <c r="H23" s="267"/>
      <c r="I23" s="153"/>
      <c r="J23" s="267"/>
      <c r="K23" s="153"/>
      <c r="L23" s="189"/>
      <c r="M23" s="8"/>
    </row>
    <row r="24" spans="1:13" ht="31" x14ac:dyDescent="0.35">
      <c r="A24" s="496" t="s">
        <v>235</v>
      </c>
      <c r="B24" s="496" t="s">
        <v>33</v>
      </c>
      <c r="C24" s="496" t="s">
        <v>669</v>
      </c>
      <c r="D24" s="290">
        <v>1</v>
      </c>
      <c r="E24" s="291">
        <v>1493</v>
      </c>
      <c r="F24" s="497" t="s">
        <v>1028</v>
      </c>
      <c r="G24" s="498" t="s">
        <v>982</v>
      </c>
      <c r="H24" s="336" t="s">
        <v>565</v>
      </c>
      <c r="I24" s="499">
        <v>3025</v>
      </c>
      <c r="J24" s="336" t="s">
        <v>1027</v>
      </c>
      <c r="K24" s="499">
        <f t="shared" ref="K24:K37" si="1">I24</f>
        <v>3025</v>
      </c>
      <c r="L24" s="499"/>
      <c r="M24" s="345"/>
    </row>
    <row r="25" spans="1:13" ht="31" x14ac:dyDescent="0.35">
      <c r="A25" s="495" t="s">
        <v>1097</v>
      </c>
      <c r="B25" s="496" t="s">
        <v>137</v>
      </c>
      <c r="C25" s="496" t="s">
        <v>669</v>
      </c>
      <c r="D25" s="290">
        <v>1</v>
      </c>
      <c r="E25" s="291">
        <v>1370</v>
      </c>
      <c r="F25" s="497" t="s">
        <v>1026</v>
      </c>
      <c r="G25" s="498" t="s">
        <v>982</v>
      </c>
      <c r="H25" s="336" t="s">
        <v>565</v>
      </c>
      <c r="I25" s="499">
        <v>1754.5</v>
      </c>
      <c r="J25" s="336" t="s">
        <v>1025</v>
      </c>
      <c r="K25" s="499">
        <f t="shared" si="1"/>
        <v>1754.5</v>
      </c>
      <c r="L25" s="499"/>
      <c r="M25" s="345"/>
    </row>
    <row r="26" spans="1:13" ht="42" x14ac:dyDescent="0.35">
      <c r="A26" s="489" t="s">
        <v>35</v>
      </c>
      <c r="B26" s="489" t="s">
        <v>35</v>
      </c>
      <c r="C26" s="489" t="s">
        <v>669</v>
      </c>
      <c r="D26" s="285">
        <v>1</v>
      </c>
      <c r="E26" s="286">
        <v>1300</v>
      </c>
      <c r="F26" s="492" t="s">
        <v>856</v>
      </c>
      <c r="G26" s="493" t="s">
        <v>852</v>
      </c>
      <c r="H26" s="327" t="s">
        <v>565</v>
      </c>
      <c r="I26" s="469">
        <v>677.6</v>
      </c>
      <c r="J26" s="327" t="s">
        <v>1024</v>
      </c>
      <c r="K26" s="469">
        <f t="shared" si="1"/>
        <v>677.6</v>
      </c>
      <c r="L26" s="469"/>
      <c r="M26" s="268" t="s">
        <v>1053</v>
      </c>
    </row>
    <row r="27" spans="1:13" ht="31" x14ac:dyDescent="0.35">
      <c r="A27" s="495" t="s">
        <v>20</v>
      </c>
      <c r="B27" s="502" t="s">
        <v>464</v>
      </c>
      <c r="C27" s="496" t="s">
        <v>669</v>
      </c>
      <c r="D27" s="290">
        <v>1</v>
      </c>
      <c r="E27" s="291">
        <v>2211</v>
      </c>
      <c r="F27" s="497" t="s">
        <v>851</v>
      </c>
      <c r="G27" s="498" t="s">
        <v>484</v>
      </c>
      <c r="H27" s="336" t="s">
        <v>448</v>
      </c>
      <c r="I27" s="499">
        <v>968</v>
      </c>
      <c r="J27" s="336" t="s">
        <v>1011</v>
      </c>
      <c r="K27" s="499">
        <f t="shared" si="1"/>
        <v>968</v>
      </c>
      <c r="L27" s="499"/>
      <c r="M27" s="345"/>
    </row>
    <row r="28" spans="1:13" ht="42" x14ac:dyDescent="0.35">
      <c r="A28" s="487" t="s">
        <v>864</v>
      </c>
      <c r="B28" s="489" t="s">
        <v>38</v>
      </c>
      <c r="C28" s="489" t="s">
        <v>669</v>
      </c>
      <c r="D28" s="285">
        <v>4</v>
      </c>
      <c r="E28" s="286">
        <v>2689</v>
      </c>
      <c r="F28" s="492" t="s">
        <v>467</v>
      </c>
      <c r="G28" s="493" t="s">
        <v>468</v>
      </c>
      <c r="H28" s="327" t="s">
        <v>469</v>
      </c>
      <c r="I28" s="469">
        <v>392.04</v>
      </c>
      <c r="J28" s="327" t="s">
        <v>1023</v>
      </c>
      <c r="K28" s="469">
        <f t="shared" si="1"/>
        <v>392.04</v>
      </c>
      <c r="L28" s="469"/>
      <c r="M28" s="268" t="s">
        <v>1053</v>
      </c>
    </row>
    <row r="29" spans="1:13" ht="15.5" x14ac:dyDescent="0.35">
      <c r="A29" s="495" t="s">
        <v>1094</v>
      </c>
      <c r="B29" s="496" t="s">
        <v>465</v>
      </c>
      <c r="C29" s="496" t="s">
        <v>669</v>
      </c>
      <c r="D29" s="290">
        <v>1</v>
      </c>
      <c r="E29" s="503">
        <v>611</v>
      </c>
      <c r="F29" s="497" t="s">
        <v>1022</v>
      </c>
      <c r="G29" s="498" t="s">
        <v>1021</v>
      </c>
      <c r="H29" s="336" t="s">
        <v>992</v>
      </c>
      <c r="I29" s="499">
        <v>290.39999999999998</v>
      </c>
      <c r="J29" s="336" t="s">
        <v>1020</v>
      </c>
      <c r="K29" s="499">
        <f t="shared" si="1"/>
        <v>290.39999999999998</v>
      </c>
      <c r="L29" s="499"/>
      <c r="M29" s="345"/>
    </row>
    <row r="30" spans="1:13" ht="42" x14ac:dyDescent="0.35">
      <c r="A30" s="487" t="s">
        <v>865</v>
      </c>
      <c r="B30" s="494" t="s">
        <v>40</v>
      </c>
      <c r="C30" s="489" t="s">
        <v>669</v>
      </c>
      <c r="D30" s="285">
        <v>2</v>
      </c>
      <c r="E30" s="286">
        <v>31374</v>
      </c>
      <c r="F30" s="490" t="s">
        <v>855</v>
      </c>
      <c r="G30" s="491" t="s">
        <v>816</v>
      </c>
      <c r="H30" s="327" t="s">
        <v>854</v>
      </c>
      <c r="I30" s="469">
        <v>5909.64</v>
      </c>
      <c r="J30" s="327" t="s">
        <v>1019</v>
      </c>
      <c r="K30" s="469">
        <f t="shared" si="1"/>
        <v>5909.64</v>
      </c>
      <c r="L30" s="469"/>
      <c r="M30" s="268" t="s">
        <v>1053</v>
      </c>
    </row>
    <row r="31" spans="1:13" ht="46.5" x14ac:dyDescent="0.35">
      <c r="A31" s="496" t="s">
        <v>42</v>
      </c>
      <c r="B31" s="496" t="s">
        <v>42</v>
      </c>
      <c r="C31" s="496" t="s">
        <v>669</v>
      </c>
      <c r="D31" s="290">
        <v>1</v>
      </c>
      <c r="E31" s="291">
        <v>9635</v>
      </c>
      <c r="F31" s="497" t="s">
        <v>1018</v>
      </c>
      <c r="G31" s="498" t="s">
        <v>986</v>
      </c>
      <c r="H31" s="336" t="s">
        <v>1017</v>
      </c>
      <c r="I31" s="499">
        <v>10369.700000000001</v>
      </c>
      <c r="J31" s="336" t="s">
        <v>1016</v>
      </c>
      <c r="K31" s="499">
        <f t="shared" si="1"/>
        <v>10369.700000000001</v>
      </c>
      <c r="L31" s="499"/>
      <c r="M31" s="345"/>
    </row>
    <row r="32" spans="1:13" ht="31" x14ac:dyDescent="0.35">
      <c r="A32" s="495" t="s">
        <v>1093</v>
      </c>
      <c r="B32" s="496" t="s">
        <v>466</v>
      </c>
      <c r="C32" s="496" t="s">
        <v>669</v>
      </c>
      <c r="D32" s="290">
        <v>2</v>
      </c>
      <c r="E32" s="291">
        <v>5276</v>
      </c>
      <c r="F32" s="497" t="s">
        <v>1015</v>
      </c>
      <c r="G32" s="498" t="s">
        <v>1012</v>
      </c>
      <c r="H32" s="336" t="s">
        <v>565</v>
      </c>
      <c r="I32" s="499">
        <v>1062.3800000000001</v>
      </c>
      <c r="J32" s="336"/>
      <c r="K32" s="499"/>
      <c r="L32" s="499">
        <v>1062.3800000000001</v>
      </c>
      <c r="M32" s="345"/>
    </row>
    <row r="33" spans="1:13" ht="42" x14ac:dyDescent="0.35">
      <c r="A33" s="489" t="s">
        <v>867</v>
      </c>
      <c r="B33" s="489" t="s">
        <v>44</v>
      </c>
      <c r="C33" s="489" t="s">
        <v>669</v>
      </c>
      <c r="D33" s="285">
        <v>2</v>
      </c>
      <c r="E33" s="286">
        <v>8421</v>
      </c>
      <c r="F33" s="492" t="s">
        <v>851</v>
      </c>
      <c r="G33" s="493" t="s">
        <v>484</v>
      </c>
      <c r="H33" s="327" t="s">
        <v>448</v>
      </c>
      <c r="I33" s="469">
        <v>1936</v>
      </c>
      <c r="J33" s="327" t="s">
        <v>1011</v>
      </c>
      <c r="K33" s="469">
        <f t="shared" si="1"/>
        <v>1936</v>
      </c>
      <c r="L33" s="469"/>
      <c r="M33" s="268" t="s">
        <v>1053</v>
      </c>
    </row>
    <row r="34" spans="1:13" ht="42" x14ac:dyDescent="0.35">
      <c r="A34" s="489" t="s">
        <v>869</v>
      </c>
      <c r="B34" s="489" t="s">
        <v>45</v>
      </c>
      <c r="C34" s="489" t="s">
        <v>669</v>
      </c>
      <c r="D34" s="285">
        <v>1</v>
      </c>
      <c r="E34" s="286">
        <v>2068</v>
      </c>
      <c r="F34" s="492" t="s">
        <v>853</v>
      </c>
      <c r="G34" s="493" t="s">
        <v>852</v>
      </c>
      <c r="H34" s="327" t="s">
        <v>565</v>
      </c>
      <c r="I34" s="469">
        <v>1996.5</v>
      </c>
      <c r="J34" s="327" t="s">
        <v>1014</v>
      </c>
      <c r="K34" s="469">
        <f t="shared" si="1"/>
        <v>1996.5</v>
      </c>
      <c r="L34" s="469"/>
      <c r="M34" s="268" t="s">
        <v>1053</v>
      </c>
    </row>
    <row r="35" spans="1:13" ht="31" x14ac:dyDescent="0.35">
      <c r="A35" s="495" t="s">
        <v>1097</v>
      </c>
      <c r="B35" s="496" t="s">
        <v>137</v>
      </c>
      <c r="C35" s="496" t="s">
        <v>669</v>
      </c>
      <c r="D35" s="290">
        <v>1</v>
      </c>
      <c r="E35" s="291">
        <v>1370</v>
      </c>
      <c r="F35" s="497" t="s">
        <v>1013</v>
      </c>
      <c r="G35" s="498" t="s">
        <v>1012</v>
      </c>
      <c r="H35" s="336" t="s">
        <v>565</v>
      </c>
      <c r="I35" s="499">
        <v>1754.5</v>
      </c>
      <c r="J35" s="336"/>
      <c r="K35" s="336"/>
      <c r="L35" s="499">
        <f>I35</f>
        <v>1754.5</v>
      </c>
      <c r="M35" s="345"/>
    </row>
    <row r="36" spans="1:13" ht="42" x14ac:dyDescent="0.35">
      <c r="A36" s="489" t="s">
        <v>20</v>
      </c>
      <c r="B36" s="489" t="s">
        <v>20</v>
      </c>
      <c r="C36" s="489" t="s">
        <v>669</v>
      </c>
      <c r="D36" s="285">
        <v>1</v>
      </c>
      <c r="E36" s="286">
        <v>1162</v>
      </c>
      <c r="F36" s="492" t="s">
        <v>851</v>
      </c>
      <c r="G36" s="493" t="s">
        <v>484</v>
      </c>
      <c r="H36" s="327" t="s">
        <v>448</v>
      </c>
      <c r="I36" s="469">
        <v>968</v>
      </c>
      <c r="J36" s="327" t="s">
        <v>1011</v>
      </c>
      <c r="K36" s="469">
        <f t="shared" si="1"/>
        <v>968</v>
      </c>
      <c r="L36" s="469"/>
      <c r="M36" s="268" t="s">
        <v>1053</v>
      </c>
    </row>
    <row r="37" spans="1:13" ht="15.5" x14ac:dyDescent="0.35">
      <c r="A37" s="496" t="s">
        <v>1096</v>
      </c>
      <c r="B37" s="496" t="s">
        <v>46</v>
      </c>
      <c r="C37" s="496" t="s">
        <v>669</v>
      </c>
      <c r="D37" s="290">
        <v>1</v>
      </c>
      <c r="E37" s="503">
        <v>576</v>
      </c>
      <c r="F37" s="497" t="s">
        <v>1010</v>
      </c>
      <c r="G37" s="498" t="s">
        <v>841</v>
      </c>
      <c r="H37" s="336" t="s">
        <v>992</v>
      </c>
      <c r="I37" s="499">
        <v>665.5</v>
      </c>
      <c r="J37" s="336" t="s">
        <v>1009</v>
      </c>
      <c r="K37" s="499">
        <f t="shared" si="1"/>
        <v>665.5</v>
      </c>
      <c r="L37" s="499"/>
      <c r="M37" s="345"/>
    </row>
  </sheetData>
  <autoFilter ref="A7:N37" xr:uid="{802CCAEC-E5E6-4715-8208-C557E6406DD5}"/>
  <mergeCells count="12">
    <mergeCell ref="K6:L6"/>
    <mergeCell ref="C6:C7"/>
    <mergeCell ref="M6:M7"/>
    <mergeCell ref="A2:B2"/>
    <mergeCell ref="A4:M4"/>
    <mergeCell ref="A5:E5"/>
    <mergeCell ref="F5:M5"/>
    <mergeCell ref="A6:A7"/>
    <mergeCell ref="B6:B7"/>
    <mergeCell ref="D6:D7"/>
    <mergeCell ref="E6:E7"/>
    <mergeCell ref="F6:I6"/>
  </mergeCells>
  <pageMargins left="0.7" right="0.7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A922-DAA8-4E7A-B03C-232D6F80CCC4}">
  <sheetPr>
    <tabColor rgb="FF00B0F0"/>
  </sheetPr>
  <dimension ref="A1:M32"/>
  <sheetViews>
    <sheetView zoomScaleNormal="100" workbookViewId="0">
      <selection activeCell="A26" sqref="A26"/>
    </sheetView>
  </sheetViews>
  <sheetFormatPr defaultColWidth="9.1796875" defaultRowHeight="14" x14ac:dyDescent="0.35"/>
  <cols>
    <col min="1" max="1" width="26.26953125" style="4" customWidth="1"/>
    <col min="2" max="2" width="32.1796875" style="4" customWidth="1"/>
    <col min="3" max="3" width="19.54296875" style="4" customWidth="1"/>
    <col min="4" max="4" width="14.26953125" style="4" customWidth="1"/>
    <col min="5" max="5" width="16.7265625" style="4" customWidth="1"/>
    <col min="6" max="6" width="15.54296875" style="4" customWidth="1"/>
    <col min="7" max="7" width="14.1796875" style="4" customWidth="1"/>
    <col min="8" max="8" width="21" style="4" customWidth="1"/>
    <col min="9" max="10" width="14.26953125" style="4" customWidth="1"/>
    <col min="11" max="11" width="14.453125" style="4" customWidth="1"/>
    <col min="12" max="12" width="14.1796875" style="4" customWidth="1"/>
    <col min="13" max="13" width="32.7265625" style="4" customWidth="1"/>
    <col min="14" max="16" width="10" style="4" bestFit="1" customWidth="1"/>
    <col min="17" max="16384" width="9.1796875" style="4"/>
  </cols>
  <sheetData>
    <row r="1" spans="1:13" ht="15.5" x14ac:dyDescent="0.35">
      <c r="A1" s="1"/>
      <c r="B1" s="1"/>
      <c r="C1" s="1"/>
      <c r="D1" s="1"/>
      <c r="E1" s="1"/>
      <c r="F1" s="1"/>
      <c r="G1" s="1"/>
      <c r="H1" s="169"/>
      <c r="I1" s="192"/>
      <c r="J1" s="192"/>
      <c r="K1" s="1"/>
      <c r="L1" s="1"/>
      <c r="M1" s="2"/>
    </row>
    <row r="2" spans="1:13" ht="15.75" customHeight="1" x14ac:dyDescent="0.35">
      <c r="A2" s="156" t="s">
        <v>495</v>
      </c>
      <c r="B2" s="1"/>
      <c r="C2" s="1"/>
      <c r="D2" s="1"/>
      <c r="E2" s="1"/>
      <c r="F2" s="1"/>
      <c r="G2" s="1"/>
      <c r="H2" s="260"/>
      <c r="I2" s="192">
        <f>I9+I10+I14+I15+I17+I23+I30</f>
        <v>139621.9</v>
      </c>
      <c r="J2" s="192"/>
      <c r="K2" s="1"/>
      <c r="L2" s="1"/>
      <c r="M2" s="2"/>
    </row>
    <row r="3" spans="1:13" ht="15.5" x14ac:dyDescent="0.35">
      <c r="A3" s="1"/>
      <c r="B3" s="1"/>
      <c r="C3" s="1"/>
      <c r="D3" s="1"/>
      <c r="E3" s="1"/>
      <c r="F3" s="1"/>
      <c r="G3" s="1"/>
      <c r="H3" s="351"/>
      <c r="I3" s="261">
        <f>I18+I19+I21+I22+I25+I26+I27+I28+I29</f>
        <v>82585.8</v>
      </c>
      <c r="J3" s="1"/>
      <c r="K3" s="1"/>
      <c r="L3" s="1"/>
      <c r="M3" s="2"/>
    </row>
    <row r="4" spans="1:13" ht="17.5" x14ac:dyDescent="0.35">
      <c r="A4" s="650" t="s">
        <v>4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</row>
    <row r="5" spans="1:13" ht="15" x14ac:dyDescent="0.35">
      <c r="A5" s="587" t="s">
        <v>132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</row>
    <row r="6" spans="1:13" ht="15" x14ac:dyDescent="0.35">
      <c r="A6" s="590" t="s">
        <v>575</v>
      </c>
      <c r="B6" s="590" t="s">
        <v>133</v>
      </c>
      <c r="C6" s="590" t="s">
        <v>574</v>
      </c>
      <c r="D6" s="590" t="s">
        <v>6</v>
      </c>
      <c r="E6" s="590" t="s">
        <v>7</v>
      </c>
      <c r="F6" s="587" t="s">
        <v>134</v>
      </c>
      <c r="G6" s="588"/>
      <c r="H6" s="588"/>
      <c r="I6" s="589"/>
      <c r="J6" s="122"/>
      <c r="K6" s="653" t="s">
        <v>830</v>
      </c>
      <c r="L6" s="654"/>
      <c r="M6" s="590" t="s">
        <v>135</v>
      </c>
    </row>
    <row r="7" spans="1:13" ht="30" x14ac:dyDescent="0.35">
      <c r="A7" s="591"/>
      <c r="B7" s="591"/>
      <c r="C7" s="591"/>
      <c r="D7" s="591"/>
      <c r="E7" s="591"/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659</v>
      </c>
      <c r="K7" s="104" t="s">
        <v>1</v>
      </c>
      <c r="L7" s="104" t="s">
        <v>0</v>
      </c>
      <c r="M7" s="591"/>
    </row>
    <row r="8" spans="1:13" ht="15" x14ac:dyDescent="0.35">
      <c r="A8" s="6"/>
      <c r="B8" s="7"/>
      <c r="C8" s="7"/>
      <c r="D8" s="7"/>
      <c r="E8" s="46">
        <f>SUM(E9:E32)</f>
        <v>264285.78999999998</v>
      </c>
      <c r="F8" s="7"/>
      <c r="G8" s="7"/>
      <c r="H8" s="7"/>
      <c r="I8" s="46">
        <f>SUM(I9:I31)</f>
        <v>222207.7</v>
      </c>
      <c r="J8" s="46"/>
      <c r="K8" s="46">
        <f>SUM(K9:K32)</f>
        <v>222207.60000000003</v>
      </c>
      <c r="L8" s="46"/>
      <c r="M8" s="7"/>
    </row>
    <row r="9" spans="1:13" ht="28" x14ac:dyDescent="0.35">
      <c r="A9" s="276" t="s">
        <v>876</v>
      </c>
      <c r="B9" s="335" t="s">
        <v>246</v>
      </c>
      <c r="C9" s="335" t="s">
        <v>669</v>
      </c>
      <c r="D9" s="327">
        <v>2</v>
      </c>
      <c r="E9" s="469">
        <v>23871.38</v>
      </c>
      <c r="F9" s="327" t="s">
        <v>496</v>
      </c>
      <c r="G9" s="327" t="s">
        <v>468</v>
      </c>
      <c r="H9" s="327" t="s">
        <v>448</v>
      </c>
      <c r="I9" s="469">
        <v>18392</v>
      </c>
      <c r="J9" s="504"/>
      <c r="K9" s="738">
        <v>29040</v>
      </c>
      <c r="L9" s="738"/>
      <c r="M9" s="519" t="s">
        <v>1053</v>
      </c>
    </row>
    <row r="10" spans="1:13" ht="28" x14ac:dyDescent="0.35">
      <c r="A10" s="276" t="s">
        <v>871</v>
      </c>
      <c r="B10" s="398" t="s">
        <v>497</v>
      </c>
      <c r="C10" s="335" t="s">
        <v>669</v>
      </c>
      <c r="D10" s="505">
        <v>2</v>
      </c>
      <c r="E10" s="506">
        <v>2390.42</v>
      </c>
      <c r="F10" s="691" t="s">
        <v>498</v>
      </c>
      <c r="G10" s="691" t="s">
        <v>468</v>
      </c>
      <c r="H10" s="691" t="s">
        <v>448</v>
      </c>
      <c r="I10" s="738">
        <v>10648</v>
      </c>
      <c r="J10" s="507"/>
      <c r="K10" s="748"/>
      <c r="L10" s="748"/>
      <c r="M10" s="519" t="s">
        <v>1053</v>
      </c>
    </row>
    <row r="11" spans="1:13" ht="31" x14ac:dyDescent="0.35">
      <c r="A11" s="276" t="s">
        <v>880</v>
      </c>
      <c r="B11" s="508" t="s">
        <v>499</v>
      </c>
      <c r="C11" s="335" t="s">
        <v>669</v>
      </c>
      <c r="D11" s="505">
        <v>4</v>
      </c>
      <c r="E11" s="469">
        <v>8844.56</v>
      </c>
      <c r="F11" s="692"/>
      <c r="G11" s="692"/>
      <c r="H11" s="692"/>
      <c r="I11" s="748"/>
      <c r="J11" s="514">
        <v>561</v>
      </c>
      <c r="K11" s="748"/>
      <c r="L11" s="748"/>
      <c r="M11" s="519" t="s">
        <v>1053</v>
      </c>
    </row>
    <row r="12" spans="1:13" ht="28" x14ac:dyDescent="0.35">
      <c r="A12" s="276" t="s">
        <v>881</v>
      </c>
      <c r="B12" s="509" t="s">
        <v>44</v>
      </c>
      <c r="C12" s="335" t="s">
        <v>669</v>
      </c>
      <c r="D12" s="505">
        <v>2</v>
      </c>
      <c r="E12" s="469">
        <v>8421.24</v>
      </c>
      <c r="F12" s="692"/>
      <c r="G12" s="692"/>
      <c r="H12" s="692"/>
      <c r="I12" s="748"/>
      <c r="J12" s="507"/>
      <c r="K12" s="748"/>
      <c r="L12" s="748"/>
      <c r="M12" s="519" t="s">
        <v>1053</v>
      </c>
    </row>
    <row r="13" spans="1:13" ht="28" x14ac:dyDescent="0.35">
      <c r="A13" s="276" t="s">
        <v>882</v>
      </c>
      <c r="B13" s="509" t="s">
        <v>20</v>
      </c>
      <c r="C13" s="335" t="s">
        <v>669</v>
      </c>
      <c r="D13" s="505">
        <v>3</v>
      </c>
      <c r="E13" s="469">
        <v>3484.8</v>
      </c>
      <c r="F13" s="693"/>
      <c r="G13" s="693"/>
      <c r="H13" s="693"/>
      <c r="I13" s="739"/>
      <c r="J13" s="472"/>
      <c r="K13" s="739"/>
      <c r="L13" s="739"/>
      <c r="M13" s="519" t="s">
        <v>1053</v>
      </c>
    </row>
    <row r="14" spans="1:13" ht="31" x14ac:dyDescent="0.35">
      <c r="A14" s="398" t="s">
        <v>24</v>
      </c>
      <c r="B14" s="398" t="s">
        <v>24</v>
      </c>
      <c r="C14" s="335" t="s">
        <v>669</v>
      </c>
      <c r="D14" s="505">
        <v>1</v>
      </c>
      <c r="E14" s="239">
        <v>43557.58</v>
      </c>
      <c r="F14" s="327" t="s">
        <v>500</v>
      </c>
      <c r="G14" s="327" t="s">
        <v>454</v>
      </c>
      <c r="H14" s="327" t="s">
        <v>501</v>
      </c>
      <c r="I14" s="469">
        <v>43439</v>
      </c>
      <c r="J14" s="469">
        <v>477</v>
      </c>
      <c r="K14" s="327">
        <v>43439</v>
      </c>
      <c r="L14" s="469"/>
      <c r="M14" s="519" t="s">
        <v>1053</v>
      </c>
    </row>
    <row r="15" spans="1:13" ht="31" x14ac:dyDescent="0.35">
      <c r="A15" s="404" t="s">
        <v>877</v>
      </c>
      <c r="B15" s="404" t="s">
        <v>153</v>
      </c>
      <c r="C15" s="335" t="s">
        <v>669</v>
      </c>
      <c r="D15" s="505">
        <v>1</v>
      </c>
      <c r="E15" s="239">
        <v>6402.92</v>
      </c>
      <c r="F15" s="691" t="s">
        <v>502</v>
      </c>
      <c r="G15" s="691" t="s">
        <v>454</v>
      </c>
      <c r="H15" s="691" t="s">
        <v>501</v>
      </c>
      <c r="I15" s="738">
        <v>15838.9</v>
      </c>
      <c r="J15" s="691">
        <v>484</v>
      </c>
      <c r="K15" s="691">
        <v>15838.9</v>
      </c>
      <c r="L15" s="738"/>
      <c r="M15" s="519" t="s">
        <v>1053</v>
      </c>
    </row>
    <row r="16" spans="1:13" ht="31" x14ac:dyDescent="0.35">
      <c r="A16" s="404" t="s">
        <v>877</v>
      </c>
      <c r="B16" s="509" t="s">
        <v>43</v>
      </c>
      <c r="C16" s="335" t="s">
        <v>669</v>
      </c>
      <c r="D16" s="505">
        <v>1</v>
      </c>
      <c r="E16" s="239">
        <v>9489.83</v>
      </c>
      <c r="F16" s="693"/>
      <c r="G16" s="693"/>
      <c r="H16" s="693"/>
      <c r="I16" s="739"/>
      <c r="J16" s="693"/>
      <c r="K16" s="693"/>
      <c r="L16" s="739"/>
      <c r="M16" s="519" t="s">
        <v>1053</v>
      </c>
    </row>
    <row r="17" spans="1:13" ht="46.5" x14ac:dyDescent="0.35">
      <c r="A17" s="276" t="s">
        <v>879</v>
      </c>
      <c r="B17" s="404" t="s">
        <v>503</v>
      </c>
      <c r="C17" s="332" t="s">
        <v>669</v>
      </c>
      <c r="D17" s="327">
        <v>1</v>
      </c>
      <c r="E17" s="469">
        <v>21684.57</v>
      </c>
      <c r="F17" s="327" t="s">
        <v>875</v>
      </c>
      <c r="G17" s="327" t="s">
        <v>765</v>
      </c>
      <c r="H17" s="327" t="s">
        <v>501</v>
      </c>
      <c r="I17" s="469">
        <v>21175</v>
      </c>
      <c r="J17" s="327">
        <v>782</v>
      </c>
      <c r="K17" s="327">
        <v>21175</v>
      </c>
      <c r="L17" s="469"/>
      <c r="M17" s="519" t="s">
        <v>1053</v>
      </c>
    </row>
    <row r="18" spans="1:13" ht="31" x14ac:dyDescent="0.35">
      <c r="A18" s="452" t="s">
        <v>83</v>
      </c>
      <c r="B18" s="452" t="s">
        <v>83</v>
      </c>
      <c r="C18" s="345" t="s">
        <v>669</v>
      </c>
      <c r="D18" s="513">
        <v>2</v>
      </c>
      <c r="E18" s="499">
        <v>44953.279999999999</v>
      </c>
      <c r="F18" s="746" t="s">
        <v>1047</v>
      </c>
      <c r="G18" s="746" t="s">
        <v>1033</v>
      </c>
      <c r="H18" s="746" t="s">
        <v>501</v>
      </c>
      <c r="I18" s="499">
        <v>44951.5</v>
      </c>
      <c r="J18" s="746">
        <v>919</v>
      </c>
      <c r="K18" s="746">
        <v>53669.55</v>
      </c>
      <c r="L18" s="345"/>
      <c r="M18" s="709"/>
    </row>
    <row r="19" spans="1:13" ht="15.5" x14ac:dyDescent="0.35">
      <c r="A19" s="462" t="s">
        <v>146</v>
      </c>
      <c r="B19" s="462" t="s">
        <v>146</v>
      </c>
      <c r="C19" s="345" t="s">
        <v>669</v>
      </c>
      <c r="D19" s="513">
        <v>1</v>
      </c>
      <c r="E19" s="336">
        <v>8721.68</v>
      </c>
      <c r="F19" s="747"/>
      <c r="G19" s="747"/>
      <c r="H19" s="747"/>
      <c r="I19" s="499">
        <v>8718.0499999999993</v>
      </c>
      <c r="J19" s="747"/>
      <c r="K19" s="747"/>
      <c r="L19" s="345"/>
      <c r="M19" s="710"/>
    </row>
    <row r="20" spans="1:13" ht="31" x14ac:dyDescent="0.35">
      <c r="A20" s="157"/>
      <c r="B20" s="57" t="s">
        <v>504</v>
      </c>
      <c r="C20" s="8" t="s">
        <v>669</v>
      </c>
      <c r="D20" s="59">
        <v>1</v>
      </c>
      <c r="E20" s="152">
        <v>1408.64</v>
      </c>
      <c r="F20" s="8"/>
      <c r="G20" s="8"/>
      <c r="H20" s="8"/>
      <c r="I20" s="153"/>
      <c r="J20" s="8"/>
      <c r="K20" s="8"/>
      <c r="L20" s="27"/>
      <c r="M20" s="58"/>
    </row>
    <row r="21" spans="1:13" ht="31" x14ac:dyDescent="0.35">
      <c r="A21" s="462" t="s">
        <v>1098</v>
      </c>
      <c r="B21" s="452" t="s">
        <v>505</v>
      </c>
      <c r="C21" s="345" t="s">
        <v>669</v>
      </c>
      <c r="D21" s="336">
        <v>1</v>
      </c>
      <c r="E21" s="336">
        <v>11482.36</v>
      </c>
      <c r="F21" s="746" t="s">
        <v>1046</v>
      </c>
      <c r="G21" s="746" t="s">
        <v>1033</v>
      </c>
      <c r="H21" s="746" t="s">
        <v>1045</v>
      </c>
      <c r="I21" s="499">
        <v>6037.9</v>
      </c>
      <c r="J21" s="746">
        <v>895</v>
      </c>
      <c r="K21" s="749">
        <v>18041</v>
      </c>
      <c r="L21" s="345"/>
      <c r="M21" s="742"/>
    </row>
    <row r="22" spans="1:13" ht="31" x14ac:dyDescent="0.35">
      <c r="A22" s="462" t="s">
        <v>753</v>
      </c>
      <c r="B22" s="452" t="s">
        <v>506</v>
      </c>
      <c r="C22" s="345" t="s">
        <v>669</v>
      </c>
      <c r="D22" s="336">
        <v>1</v>
      </c>
      <c r="E22" s="336">
        <v>13876.42</v>
      </c>
      <c r="F22" s="747"/>
      <c r="G22" s="747"/>
      <c r="H22" s="747"/>
      <c r="I22" s="499">
        <v>12003.2</v>
      </c>
      <c r="J22" s="747"/>
      <c r="K22" s="750"/>
      <c r="L22" s="345"/>
      <c r="M22" s="743"/>
    </row>
    <row r="23" spans="1:13" ht="15.5" x14ac:dyDescent="0.35">
      <c r="A23" s="744" t="s">
        <v>878</v>
      </c>
      <c r="B23" s="398" t="s">
        <v>31</v>
      </c>
      <c r="C23" s="335" t="s">
        <v>669</v>
      </c>
      <c r="D23" s="327">
        <v>4</v>
      </c>
      <c r="E23" s="327">
        <v>18000</v>
      </c>
      <c r="F23" s="691" t="s">
        <v>874</v>
      </c>
      <c r="G23" s="691" t="s">
        <v>861</v>
      </c>
      <c r="H23" s="691" t="s">
        <v>873</v>
      </c>
      <c r="I23" s="738">
        <v>28193</v>
      </c>
      <c r="J23" s="691">
        <v>714</v>
      </c>
      <c r="K23" s="738">
        <v>28193</v>
      </c>
      <c r="L23" s="738"/>
      <c r="M23" s="744" t="s">
        <v>1053</v>
      </c>
    </row>
    <row r="24" spans="1:13" ht="15.5" x14ac:dyDescent="0.35">
      <c r="A24" s="745"/>
      <c r="B24" s="404" t="s">
        <v>507</v>
      </c>
      <c r="C24" s="335" t="s">
        <v>669</v>
      </c>
      <c r="D24" s="327">
        <v>4</v>
      </c>
      <c r="E24" s="327">
        <v>10159.32</v>
      </c>
      <c r="F24" s="693"/>
      <c r="G24" s="693"/>
      <c r="H24" s="693"/>
      <c r="I24" s="739"/>
      <c r="J24" s="693"/>
      <c r="K24" s="739"/>
      <c r="L24" s="739"/>
      <c r="M24" s="745"/>
    </row>
    <row r="25" spans="1:13" ht="31" x14ac:dyDescent="0.35">
      <c r="A25" s="462" t="s">
        <v>45</v>
      </c>
      <c r="B25" s="462" t="s">
        <v>45</v>
      </c>
      <c r="C25" s="345" t="s">
        <v>669</v>
      </c>
      <c r="D25" s="336">
        <v>2</v>
      </c>
      <c r="E25" s="336">
        <v>4136.32</v>
      </c>
      <c r="F25" s="336" t="s">
        <v>1041</v>
      </c>
      <c r="G25" s="336" t="s">
        <v>990</v>
      </c>
      <c r="H25" s="336" t="s">
        <v>501</v>
      </c>
      <c r="I25" s="499">
        <v>1355.2</v>
      </c>
      <c r="J25" s="511">
        <v>939</v>
      </c>
      <c r="K25" s="499">
        <v>1355.2</v>
      </c>
      <c r="L25" s="345"/>
      <c r="M25" s="512"/>
    </row>
    <row r="26" spans="1:13" ht="31" x14ac:dyDescent="0.35">
      <c r="A26" s="452" t="s">
        <v>33</v>
      </c>
      <c r="B26" s="452" t="s">
        <v>33</v>
      </c>
      <c r="C26" s="345" t="s">
        <v>669</v>
      </c>
      <c r="D26" s="336">
        <v>3</v>
      </c>
      <c r="E26" s="336">
        <v>4477.5600000000004</v>
      </c>
      <c r="F26" s="336" t="s">
        <v>1044</v>
      </c>
      <c r="G26" s="336" t="s">
        <v>1021</v>
      </c>
      <c r="H26" s="336" t="s">
        <v>992</v>
      </c>
      <c r="I26" s="499">
        <v>1873.08</v>
      </c>
      <c r="J26" s="336">
        <v>834</v>
      </c>
      <c r="K26" s="336">
        <v>1873.08</v>
      </c>
      <c r="L26" s="345"/>
      <c r="M26" s="512"/>
    </row>
    <row r="27" spans="1:13" ht="31" x14ac:dyDescent="0.35">
      <c r="A27" s="462" t="s">
        <v>509</v>
      </c>
      <c r="B27" s="462" t="s">
        <v>509</v>
      </c>
      <c r="C27" s="345" t="s">
        <v>669</v>
      </c>
      <c r="D27" s="336">
        <v>1</v>
      </c>
      <c r="E27" s="336">
        <v>611.04999999999995</v>
      </c>
      <c r="F27" s="336" t="s">
        <v>1043</v>
      </c>
      <c r="G27" s="336" t="s">
        <v>1042</v>
      </c>
      <c r="H27" s="336" t="s">
        <v>501</v>
      </c>
      <c r="I27" s="499">
        <v>2238.17</v>
      </c>
      <c r="J27" s="336">
        <v>807</v>
      </c>
      <c r="K27" s="336">
        <v>2238.17</v>
      </c>
      <c r="L27" s="345"/>
      <c r="M27" s="512"/>
    </row>
    <row r="28" spans="1:13" ht="31" x14ac:dyDescent="0.35">
      <c r="A28" s="462" t="s">
        <v>510</v>
      </c>
      <c r="B28" s="462" t="s">
        <v>510</v>
      </c>
      <c r="C28" s="345" t="s">
        <v>669</v>
      </c>
      <c r="D28" s="336">
        <v>1</v>
      </c>
      <c r="E28" s="336">
        <v>1165.33</v>
      </c>
      <c r="F28" s="336" t="s">
        <v>1041</v>
      </c>
      <c r="G28" s="336" t="s">
        <v>990</v>
      </c>
      <c r="H28" s="336" t="s">
        <v>501</v>
      </c>
      <c r="I28" s="499">
        <v>1089</v>
      </c>
      <c r="J28" s="511">
        <v>939</v>
      </c>
      <c r="K28" s="499">
        <v>1089</v>
      </c>
      <c r="L28" s="345"/>
      <c r="M28" s="512"/>
    </row>
    <row r="29" spans="1:13" ht="31" x14ac:dyDescent="0.35">
      <c r="A29" s="452" t="s">
        <v>37</v>
      </c>
      <c r="B29" s="452" t="s">
        <v>37</v>
      </c>
      <c r="C29" s="345" t="s">
        <v>669</v>
      </c>
      <c r="D29" s="336">
        <v>3</v>
      </c>
      <c r="E29" s="336">
        <v>3294.3</v>
      </c>
      <c r="F29" s="345"/>
      <c r="G29" s="345" t="s">
        <v>1040</v>
      </c>
      <c r="H29" s="336" t="s">
        <v>501</v>
      </c>
      <c r="I29" s="499">
        <v>4319.7</v>
      </c>
      <c r="J29" s="336">
        <v>1312</v>
      </c>
      <c r="K29" s="499">
        <v>4319.7</v>
      </c>
      <c r="L29" s="345"/>
      <c r="M29" s="512"/>
    </row>
    <row r="30" spans="1:13" ht="31" x14ac:dyDescent="0.35">
      <c r="A30" s="398" t="s">
        <v>511</v>
      </c>
      <c r="B30" s="398" t="s">
        <v>511</v>
      </c>
      <c r="C30" s="332" t="s">
        <v>669</v>
      </c>
      <c r="D30" s="327">
        <v>1</v>
      </c>
      <c r="E30" s="327">
        <v>1486.55</v>
      </c>
      <c r="F30" s="335" t="s">
        <v>872</v>
      </c>
      <c r="G30" s="335" t="s">
        <v>765</v>
      </c>
      <c r="H30" s="327" t="s">
        <v>501</v>
      </c>
      <c r="I30" s="469">
        <v>1936</v>
      </c>
      <c r="J30" s="327">
        <v>740</v>
      </c>
      <c r="K30" s="469">
        <v>1936</v>
      </c>
      <c r="L30" s="469"/>
      <c r="M30" s="519" t="s">
        <v>1053</v>
      </c>
    </row>
    <row r="31" spans="1:13" ht="15.5" x14ac:dyDescent="0.35">
      <c r="A31" s="60"/>
      <c r="B31" s="56" t="s">
        <v>30</v>
      </c>
      <c r="C31" s="8" t="s">
        <v>669</v>
      </c>
      <c r="D31" s="152">
        <v>2</v>
      </c>
      <c r="E31" s="152">
        <v>10995.96</v>
      </c>
      <c r="F31" s="27"/>
      <c r="G31" s="27"/>
      <c r="H31" s="27"/>
      <c r="I31" s="138"/>
      <c r="J31" s="138"/>
      <c r="K31" s="27"/>
      <c r="L31" s="27"/>
      <c r="M31" s="58"/>
    </row>
    <row r="32" spans="1:13" ht="15.5" x14ac:dyDescent="0.35">
      <c r="A32" s="61"/>
      <c r="B32" s="56" t="s">
        <v>137</v>
      </c>
      <c r="C32" s="8" t="s">
        <v>669</v>
      </c>
      <c r="D32" s="152">
        <v>1</v>
      </c>
      <c r="E32" s="152">
        <v>1369.72</v>
      </c>
      <c r="F32" s="27"/>
      <c r="G32" s="27"/>
      <c r="H32" s="27"/>
      <c r="I32" s="138"/>
      <c r="J32" s="138"/>
      <c r="K32" s="27"/>
      <c r="L32" s="27"/>
      <c r="M32" s="58"/>
    </row>
  </sheetData>
  <autoFilter ref="A7:M32" xr:uid="{21953277-90F9-4189-B7FC-CD20EC33B2FA}"/>
  <mergeCells count="45">
    <mergeCell ref="J15:J16"/>
    <mergeCell ref="A23:A24"/>
    <mergeCell ref="G21:G22"/>
    <mergeCell ref="H21:H22"/>
    <mergeCell ref="J21:J22"/>
    <mergeCell ref="K21:K22"/>
    <mergeCell ref="J23:J24"/>
    <mergeCell ref="C6:C7"/>
    <mergeCell ref="K15:K16"/>
    <mergeCell ref="A4:M4"/>
    <mergeCell ref="A5:E5"/>
    <mergeCell ref="F5:M5"/>
    <mergeCell ref="A6:A7"/>
    <mergeCell ref="B6:B7"/>
    <mergeCell ref="D6:D7"/>
    <mergeCell ref="E6:E7"/>
    <mergeCell ref="F6:I6"/>
    <mergeCell ref="K6:L6"/>
    <mergeCell ref="M6:M7"/>
    <mergeCell ref="K9:K13"/>
    <mergeCell ref="L9:L13"/>
    <mergeCell ref="F10:F13"/>
    <mergeCell ref="G10:G13"/>
    <mergeCell ref="H10:H13"/>
    <mergeCell ref="I10:I13"/>
    <mergeCell ref="F15:F16"/>
    <mergeCell ref="G15:G16"/>
    <mergeCell ref="H15:H16"/>
    <mergeCell ref="I15:I16"/>
    <mergeCell ref="L15:L16"/>
    <mergeCell ref="M18:M19"/>
    <mergeCell ref="M21:M22"/>
    <mergeCell ref="F23:F24"/>
    <mergeCell ref="G23:G24"/>
    <mergeCell ref="H23:H24"/>
    <mergeCell ref="I23:I24"/>
    <mergeCell ref="K23:K24"/>
    <mergeCell ref="L23:L24"/>
    <mergeCell ref="M23:M24"/>
    <mergeCell ref="F18:F19"/>
    <mergeCell ref="G18:G19"/>
    <mergeCell ref="H18:H19"/>
    <mergeCell ref="J18:J19"/>
    <mergeCell ref="K18:K19"/>
    <mergeCell ref="F21:F22"/>
  </mergeCells>
  <pageMargins left="0.7" right="0.7" top="0.75" bottom="0.75" header="0.3" footer="0.3"/>
  <pageSetup paperSize="9" scale="35" orientation="portrait" horizontalDpi="90" verticalDpi="9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3DDD-7F91-4E92-BFA5-0014EA90D41C}">
  <sheetPr>
    <tabColor rgb="FF92D050"/>
  </sheetPr>
  <dimension ref="A1:M9"/>
  <sheetViews>
    <sheetView view="pageBreakPreview" zoomScale="60" zoomScaleNormal="80" workbookViewId="0">
      <selection activeCell="E9" sqref="E9"/>
    </sheetView>
  </sheetViews>
  <sheetFormatPr defaultColWidth="9.1796875" defaultRowHeight="14" x14ac:dyDescent="0.35"/>
  <cols>
    <col min="1" max="1" width="25.1796875" style="4" customWidth="1"/>
    <col min="2" max="2" width="35.453125" style="4" customWidth="1"/>
    <col min="3" max="3" width="20.453125" style="4" customWidth="1"/>
    <col min="4" max="4" width="14.26953125" style="4" customWidth="1"/>
    <col min="5" max="5" width="16.7265625" style="4" customWidth="1"/>
    <col min="6" max="7" width="14.1796875" style="4" customWidth="1"/>
    <col min="8" max="8" width="21" style="4" customWidth="1"/>
    <col min="9" max="9" width="14.26953125" style="4" customWidth="1"/>
    <col min="10" max="10" width="14.453125" style="4" customWidth="1"/>
    <col min="11" max="11" width="14.1796875" style="4" customWidth="1"/>
    <col min="12" max="12" width="32.7265625" style="4" customWidth="1"/>
    <col min="13" max="13" width="14.1796875" style="3" customWidth="1"/>
    <col min="14" max="16" width="10" style="4" bestFit="1" customWidth="1"/>
    <col min="17" max="16384" width="9.1796875" style="4"/>
  </cols>
  <sheetData>
    <row r="1" spans="1:12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31" x14ac:dyDescent="0.35">
      <c r="A2" s="1" t="s">
        <v>904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17.5" x14ac:dyDescent="0.35">
      <c r="A4" s="650" t="s">
        <v>569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2"/>
    </row>
    <row r="5" spans="1:12" ht="15" x14ac:dyDescent="0.35">
      <c r="A5" s="587" t="s">
        <v>132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9"/>
    </row>
    <row r="6" spans="1:12" ht="15.75" customHeight="1" x14ac:dyDescent="0.35">
      <c r="A6" s="590" t="s">
        <v>575</v>
      </c>
      <c r="B6" s="590" t="s">
        <v>133</v>
      </c>
      <c r="C6" s="590" t="s">
        <v>574</v>
      </c>
      <c r="D6" s="590" t="s">
        <v>6</v>
      </c>
      <c r="E6" s="590" t="s">
        <v>7</v>
      </c>
      <c r="F6" s="587" t="s">
        <v>134</v>
      </c>
      <c r="G6" s="588"/>
      <c r="H6" s="588"/>
      <c r="I6" s="589"/>
      <c r="J6" s="653" t="s">
        <v>830</v>
      </c>
      <c r="K6" s="654"/>
      <c r="L6" s="590" t="s">
        <v>135</v>
      </c>
    </row>
    <row r="7" spans="1:12" ht="30" x14ac:dyDescent="0.35">
      <c r="A7" s="591"/>
      <c r="B7" s="591"/>
      <c r="C7" s="591"/>
      <c r="D7" s="591"/>
      <c r="E7" s="591"/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1</v>
      </c>
      <c r="K7" s="104" t="s">
        <v>0</v>
      </c>
      <c r="L7" s="591"/>
    </row>
    <row r="8" spans="1:12" ht="15" x14ac:dyDescent="0.3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46.5" x14ac:dyDescent="0.35">
      <c r="A9" s="335" t="s">
        <v>905</v>
      </c>
      <c r="B9" s="335" t="s">
        <v>903</v>
      </c>
      <c r="C9" s="335" t="s">
        <v>670</v>
      </c>
      <c r="D9" s="335">
        <v>2</v>
      </c>
      <c r="E9" s="335">
        <v>2406</v>
      </c>
      <c r="F9" s="335" t="s">
        <v>902</v>
      </c>
      <c r="G9" s="335" t="s">
        <v>444</v>
      </c>
      <c r="H9" s="335" t="s">
        <v>901</v>
      </c>
      <c r="I9" s="335">
        <v>2405.48</v>
      </c>
      <c r="J9" s="335">
        <v>21174</v>
      </c>
      <c r="K9" s="335">
        <v>2405.48</v>
      </c>
      <c r="L9" s="268" t="s">
        <v>1053</v>
      </c>
    </row>
  </sheetData>
  <mergeCells count="11">
    <mergeCell ref="C6:C7"/>
    <mergeCell ref="A4:L4"/>
    <mergeCell ref="A5:E5"/>
    <mergeCell ref="F5:L5"/>
    <mergeCell ref="A6:A7"/>
    <mergeCell ref="B6:B7"/>
    <mergeCell ref="D6:D7"/>
    <mergeCell ref="E6:E7"/>
    <mergeCell ref="F6:I6"/>
    <mergeCell ref="J6:K6"/>
    <mergeCell ref="L6:L7"/>
  </mergeCells>
  <pageMargins left="0.7" right="0.7" top="0.75" bottom="0.75" header="0.3" footer="0.3"/>
  <pageSetup paperSize="9" scale="37"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F39A-D7CE-44AE-85B0-4905FA99A3E4}">
  <sheetPr>
    <tabColor rgb="FF92D050"/>
  </sheetPr>
  <dimension ref="A1:F29"/>
  <sheetViews>
    <sheetView view="pageBreakPreview" zoomScale="60" zoomScaleNormal="80" workbookViewId="0">
      <selection activeCell="B1" sqref="B1:C1"/>
    </sheetView>
  </sheetViews>
  <sheetFormatPr defaultColWidth="9.1796875" defaultRowHeight="13" x14ac:dyDescent="0.3"/>
  <cols>
    <col min="1" max="1" width="48.453125" style="201" customWidth="1"/>
    <col min="2" max="2" width="24.54296875" style="202" customWidth="1"/>
    <col min="3" max="3" width="23.81640625" style="201" customWidth="1"/>
    <col min="4" max="4" width="13" style="201" customWidth="1"/>
    <col min="5" max="5" width="11.453125" style="201" bestFit="1" customWidth="1"/>
    <col min="6" max="6" width="11.54296875" style="201" customWidth="1"/>
    <col min="7" max="16384" width="9.1796875" style="201"/>
  </cols>
  <sheetData>
    <row r="1" spans="1:6" ht="37.5" customHeight="1" x14ac:dyDescent="0.3">
      <c r="B1" s="752"/>
      <c r="C1" s="752"/>
    </row>
    <row r="2" spans="1:6" s="211" customFormat="1" ht="49.5" customHeight="1" x14ac:dyDescent="0.3">
      <c r="A2" s="751" t="s">
        <v>911</v>
      </c>
      <c r="B2" s="751"/>
      <c r="C2" s="751"/>
      <c r="D2" s="212"/>
      <c r="E2" s="212"/>
      <c r="F2" s="212"/>
    </row>
    <row r="3" spans="1:6" ht="39" x14ac:dyDescent="0.3">
      <c r="A3" s="210" t="s">
        <v>608</v>
      </c>
      <c r="B3" s="209" t="s">
        <v>910</v>
      </c>
      <c r="C3" s="209" t="s">
        <v>909</v>
      </c>
    </row>
    <row r="4" spans="1:6" x14ac:dyDescent="0.3">
      <c r="A4" s="208" t="s">
        <v>607</v>
      </c>
      <c r="B4" s="207">
        <v>73371.399999999994</v>
      </c>
      <c r="C4" s="206">
        <f t="shared" ref="C4:C28" si="0">B4*5</f>
        <v>366857</v>
      </c>
    </row>
    <row r="5" spans="1:6" x14ac:dyDescent="0.3">
      <c r="A5" s="208" t="s">
        <v>606</v>
      </c>
      <c r="B5" s="207">
        <v>26361.4</v>
      </c>
      <c r="C5" s="206">
        <f t="shared" si="0"/>
        <v>131807</v>
      </c>
    </row>
    <row r="6" spans="1:6" x14ac:dyDescent="0.3">
      <c r="A6" s="208" t="s">
        <v>585</v>
      </c>
      <c r="B6" s="207">
        <v>36802.699999999997</v>
      </c>
      <c r="C6" s="206">
        <f t="shared" si="0"/>
        <v>184013.5</v>
      </c>
    </row>
    <row r="7" spans="1:6" x14ac:dyDescent="0.3">
      <c r="A7" s="208" t="s">
        <v>605</v>
      </c>
      <c r="B7" s="207">
        <v>26632.6</v>
      </c>
      <c r="C7" s="206">
        <f t="shared" si="0"/>
        <v>133163</v>
      </c>
    </row>
    <row r="8" spans="1:6" x14ac:dyDescent="0.3">
      <c r="A8" s="208" t="s">
        <v>604</v>
      </c>
      <c r="B8" s="207">
        <v>23349.5</v>
      </c>
      <c r="C8" s="206">
        <f t="shared" si="0"/>
        <v>116747.5</v>
      </c>
    </row>
    <row r="9" spans="1:6" x14ac:dyDescent="0.3">
      <c r="A9" s="208" t="s">
        <v>603</v>
      </c>
      <c r="B9" s="207">
        <v>28189.3</v>
      </c>
      <c r="C9" s="206">
        <f t="shared" si="0"/>
        <v>140946.5</v>
      </c>
    </row>
    <row r="10" spans="1:6" x14ac:dyDescent="0.3">
      <c r="A10" s="208" t="s">
        <v>117</v>
      </c>
      <c r="B10" s="207">
        <v>26679.8</v>
      </c>
      <c r="C10" s="206">
        <f t="shared" si="0"/>
        <v>133399</v>
      </c>
    </row>
    <row r="11" spans="1:6" x14ac:dyDescent="0.3">
      <c r="A11" s="208" t="s">
        <v>602</v>
      </c>
      <c r="B11" s="207">
        <v>11877.6</v>
      </c>
      <c r="C11" s="206">
        <f t="shared" si="0"/>
        <v>59388</v>
      </c>
    </row>
    <row r="12" spans="1:6" x14ac:dyDescent="0.3">
      <c r="A12" s="208" t="s">
        <v>601</v>
      </c>
      <c r="B12" s="207">
        <v>17528.7</v>
      </c>
      <c r="C12" s="206">
        <f t="shared" si="0"/>
        <v>87643.5</v>
      </c>
    </row>
    <row r="13" spans="1:6" x14ac:dyDescent="0.3">
      <c r="A13" s="208" t="s">
        <v>600</v>
      </c>
      <c r="B13" s="207">
        <v>5930.1</v>
      </c>
      <c r="C13" s="206">
        <f t="shared" si="0"/>
        <v>29650.5</v>
      </c>
    </row>
    <row r="14" spans="1:6" x14ac:dyDescent="0.3">
      <c r="A14" s="208" t="s">
        <v>55</v>
      </c>
      <c r="B14" s="207">
        <v>7742.7</v>
      </c>
      <c r="C14" s="206">
        <f t="shared" si="0"/>
        <v>38713.5</v>
      </c>
    </row>
    <row r="15" spans="1:6" x14ac:dyDescent="0.3">
      <c r="A15" s="208" t="s">
        <v>599</v>
      </c>
      <c r="B15" s="207">
        <v>3504.2</v>
      </c>
      <c r="C15" s="206">
        <f t="shared" si="0"/>
        <v>17521</v>
      </c>
    </row>
    <row r="16" spans="1:6" x14ac:dyDescent="0.3">
      <c r="A16" s="208" t="s">
        <v>598</v>
      </c>
      <c r="B16" s="207">
        <v>12546.1</v>
      </c>
      <c r="C16" s="206">
        <f t="shared" si="0"/>
        <v>62730.5</v>
      </c>
    </row>
    <row r="17" spans="1:3" x14ac:dyDescent="0.3">
      <c r="A17" s="208" t="s">
        <v>597</v>
      </c>
      <c r="B17" s="207">
        <v>10489.6</v>
      </c>
      <c r="C17" s="206">
        <f t="shared" si="0"/>
        <v>52448</v>
      </c>
    </row>
    <row r="18" spans="1:3" x14ac:dyDescent="0.3">
      <c r="A18" s="208" t="s">
        <v>596</v>
      </c>
      <c r="B18" s="207">
        <v>2362.6999999999998</v>
      </c>
      <c r="C18" s="206">
        <f t="shared" si="0"/>
        <v>11813.5</v>
      </c>
    </row>
    <row r="19" spans="1:3" x14ac:dyDescent="0.3">
      <c r="A19" s="208" t="s">
        <v>595</v>
      </c>
      <c r="B19" s="207">
        <v>6364.1</v>
      </c>
      <c r="C19" s="206">
        <f t="shared" si="0"/>
        <v>31820.5</v>
      </c>
    </row>
    <row r="20" spans="1:3" x14ac:dyDescent="0.3">
      <c r="A20" s="208" t="s">
        <v>594</v>
      </c>
      <c r="B20" s="207">
        <v>4994.7</v>
      </c>
      <c r="C20" s="206">
        <f t="shared" si="0"/>
        <v>24973.5</v>
      </c>
    </row>
    <row r="21" spans="1:3" x14ac:dyDescent="0.3">
      <c r="A21" s="208" t="s">
        <v>71</v>
      </c>
      <c r="B21" s="207">
        <v>3870.7</v>
      </c>
      <c r="C21" s="206">
        <f t="shared" si="0"/>
        <v>19353.5</v>
      </c>
    </row>
    <row r="22" spans="1:3" x14ac:dyDescent="0.3">
      <c r="A22" s="208" t="s">
        <v>593</v>
      </c>
      <c r="B22" s="207">
        <v>3145.7</v>
      </c>
      <c r="C22" s="206">
        <f t="shared" si="0"/>
        <v>15728.5</v>
      </c>
    </row>
    <row r="23" spans="1:3" x14ac:dyDescent="0.3">
      <c r="A23" s="208" t="s">
        <v>592</v>
      </c>
      <c r="B23" s="207">
        <v>491.9</v>
      </c>
      <c r="C23" s="206">
        <f t="shared" si="0"/>
        <v>2459.5</v>
      </c>
    </row>
    <row r="24" spans="1:3" x14ac:dyDescent="0.3">
      <c r="A24" s="208" t="s">
        <v>591</v>
      </c>
      <c r="B24" s="207">
        <v>5927</v>
      </c>
      <c r="C24" s="206">
        <f t="shared" si="0"/>
        <v>29635</v>
      </c>
    </row>
    <row r="25" spans="1:3" x14ac:dyDescent="0.3">
      <c r="A25" s="208" t="s">
        <v>590</v>
      </c>
      <c r="B25" s="207">
        <v>1576.2</v>
      </c>
      <c r="C25" s="206">
        <f t="shared" si="0"/>
        <v>7881</v>
      </c>
    </row>
    <row r="26" spans="1:3" x14ac:dyDescent="0.3">
      <c r="A26" s="208" t="s">
        <v>589</v>
      </c>
      <c r="B26" s="207">
        <v>1967.1</v>
      </c>
      <c r="C26" s="206">
        <f t="shared" si="0"/>
        <v>9835.5</v>
      </c>
    </row>
    <row r="27" spans="1:3" x14ac:dyDescent="0.3">
      <c r="A27" s="208" t="s">
        <v>588</v>
      </c>
      <c r="B27" s="207">
        <v>2992.2</v>
      </c>
      <c r="C27" s="206">
        <f t="shared" si="0"/>
        <v>14961</v>
      </c>
    </row>
    <row r="28" spans="1:3" x14ac:dyDescent="0.3">
      <c r="A28" s="208" t="s">
        <v>587</v>
      </c>
      <c r="B28" s="207">
        <v>2755.2</v>
      </c>
      <c r="C28" s="206">
        <f t="shared" si="0"/>
        <v>13776</v>
      </c>
    </row>
    <row r="29" spans="1:3" x14ac:dyDescent="0.3">
      <c r="A29" s="205" t="s">
        <v>586</v>
      </c>
      <c r="B29" s="204">
        <f>SUM(B4:B28)</f>
        <v>347453.2</v>
      </c>
      <c r="C29" s="203">
        <f>SUM(C4:C28)</f>
        <v>1737266</v>
      </c>
    </row>
  </sheetData>
  <mergeCells count="2">
    <mergeCell ref="A2:C2"/>
    <mergeCell ref="B1:C1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3413-EDEF-4200-9307-6346AE1EEC80}">
  <sheetPr>
    <tabColor rgb="FF92D050"/>
  </sheetPr>
  <dimension ref="A1:F73"/>
  <sheetViews>
    <sheetView view="pageBreakPreview" zoomScale="60" zoomScaleNormal="100" workbookViewId="0">
      <selection activeCell="J32" sqref="J32"/>
    </sheetView>
  </sheetViews>
  <sheetFormatPr defaultColWidth="9.1796875" defaultRowHeight="14" x14ac:dyDescent="0.3"/>
  <cols>
    <col min="1" max="1" width="47.81640625" style="106" bestFit="1" customWidth="1"/>
    <col min="2" max="2" width="15.81640625" style="106" customWidth="1"/>
    <col min="3" max="3" width="27.81640625" style="106" bestFit="1" customWidth="1"/>
    <col min="4" max="6" width="16.1796875" style="107" bestFit="1" customWidth="1"/>
    <col min="7" max="8" width="9.1796875" style="106" customWidth="1"/>
    <col min="9" max="9" width="40.54296875" style="106" customWidth="1"/>
    <col min="10" max="16384" width="9.1796875" style="106"/>
  </cols>
  <sheetData>
    <row r="1" spans="1:6" s="120" customFormat="1" ht="15" x14ac:dyDescent="0.3">
      <c r="A1" s="120" t="s">
        <v>652</v>
      </c>
      <c r="D1" s="121"/>
      <c r="E1" s="121"/>
      <c r="F1" s="121"/>
    </row>
    <row r="3" spans="1:6" s="117" customFormat="1" ht="28" x14ac:dyDescent="0.3">
      <c r="A3" s="119" t="s">
        <v>608</v>
      </c>
      <c r="B3" s="119" t="s">
        <v>651</v>
      </c>
      <c r="C3" s="119" t="s">
        <v>650</v>
      </c>
      <c r="D3" s="118" t="s">
        <v>649</v>
      </c>
      <c r="E3" s="118" t="s">
        <v>648</v>
      </c>
      <c r="F3" s="118" t="s">
        <v>647</v>
      </c>
    </row>
    <row r="4" spans="1:6" x14ac:dyDescent="0.3">
      <c r="A4" s="116" t="s">
        <v>594</v>
      </c>
      <c r="B4" s="116" t="s">
        <v>613</v>
      </c>
      <c r="C4" s="115" t="s">
        <v>612</v>
      </c>
      <c r="D4" s="114">
        <v>88.48</v>
      </c>
      <c r="E4" s="114">
        <v>0</v>
      </c>
      <c r="F4" s="114">
        <v>0</v>
      </c>
    </row>
    <row r="5" spans="1:6" x14ac:dyDescent="0.3">
      <c r="A5" s="116" t="s">
        <v>594</v>
      </c>
      <c r="B5" s="116" t="s">
        <v>611</v>
      </c>
      <c r="C5" s="115" t="s">
        <v>610</v>
      </c>
      <c r="D5" s="114">
        <v>9817.66</v>
      </c>
      <c r="E5" s="114">
        <v>19635.32</v>
      </c>
      <c r="F5" s="114">
        <v>12864.520000000033</v>
      </c>
    </row>
    <row r="6" spans="1:6" x14ac:dyDescent="0.3">
      <c r="A6" s="113" t="s">
        <v>646</v>
      </c>
      <c r="B6" s="113"/>
      <c r="C6" s="113"/>
      <c r="D6" s="112">
        <f>SUM(D4:D5)</f>
        <v>9906.14</v>
      </c>
      <c r="E6" s="112">
        <v>19635.320000000029</v>
      </c>
      <c r="F6" s="112">
        <v>12864.52000000004</v>
      </c>
    </row>
    <row r="7" spans="1:6" x14ac:dyDescent="0.3">
      <c r="A7" s="115" t="s">
        <v>596</v>
      </c>
      <c r="B7" s="115" t="s">
        <v>613</v>
      </c>
      <c r="C7" s="115" t="s">
        <v>612</v>
      </c>
      <c r="D7" s="114">
        <v>2433.2000000000003</v>
      </c>
      <c r="E7" s="114">
        <v>3539.2000000000003</v>
      </c>
      <c r="F7" s="114">
        <v>1725.3599999999997</v>
      </c>
    </row>
    <row r="8" spans="1:6" x14ac:dyDescent="0.3">
      <c r="A8" s="115" t="s">
        <v>596</v>
      </c>
      <c r="B8" s="115" t="s">
        <v>611</v>
      </c>
      <c r="C8" s="115" t="s">
        <v>610</v>
      </c>
      <c r="D8" s="114">
        <v>33176.920000000013</v>
      </c>
      <c r="E8" s="114">
        <v>32838.380000000019</v>
      </c>
      <c r="F8" s="114">
        <v>30130.05999999991</v>
      </c>
    </row>
    <row r="9" spans="1:6" x14ac:dyDescent="0.3">
      <c r="A9" s="113" t="s">
        <v>645</v>
      </c>
      <c r="B9" s="113"/>
      <c r="C9" s="113"/>
      <c r="D9" s="112">
        <f>SUM(D7:D8)</f>
        <v>35610.12000000001</v>
      </c>
      <c r="E9" s="112">
        <v>36377.580000000016</v>
      </c>
      <c r="F9" s="112">
        <v>31855.419999999911</v>
      </c>
    </row>
    <row r="10" spans="1:6" x14ac:dyDescent="0.3">
      <c r="A10" s="115" t="s">
        <v>644</v>
      </c>
      <c r="B10" s="115" t="s">
        <v>613</v>
      </c>
      <c r="C10" s="115" t="s">
        <v>612</v>
      </c>
      <c r="D10" s="114">
        <v>12033.28</v>
      </c>
      <c r="E10" s="114">
        <v>14554.960000000001</v>
      </c>
      <c r="F10" s="114">
        <v>19908.000000000018</v>
      </c>
    </row>
    <row r="11" spans="1:6" x14ac:dyDescent="0.3">
      <c r="A11" s="113" t="s">
        <v>643</v>
      </c>
      <c r="B11" s="113"/>
      <c r="C11" s="113"/>
      <c r="D11" s="112">
        <f>SUM(D10)</f>
        <v>12033.28</v>
      </c>
      <c r="E11" s="112">
        <v>14554.960000000001</v>
      </c>
      <c r="F11" s="112">
        <v>19908.000000000018</v>
      </c>
    </row>
    <row r="12" spans="1:6" x14ac:dyDescent="0.3">
      <c r="A12" s="116" t="s">
        <v>642</v>
      </c>
      <c r="B12" s="116" t="s">
        <v>613</v>
      </c>
      <c r="C12" s="115" t="s">
        <v>612</v>
      </c>
      <c r="D12" s="114">
        <v>9069.1999999999971</v>
      </c>
      <c r="E12" s="114">
        <v>29640.799999999988</v>
      </c>
      <c r="F12" s="114">
        <v>33489.680000000124</v>
      </c>
    </row>
    <row r="13" spans="1:6" x14ac:dyDescent="0.3">
      <c r="A13" s="116" t="s">
        <v>642</v>
      </c>
      <c r="B13" s="116" t="s">
        <v>611</v>
      </c>
      <c r="C13" s="115" t="s">
        <v>610</v>
      </c>
      <c r="D13" s="114">
        <v>695.34</v>
      </c>
      <c r="E13" s="114">
        <v>18774.18</v>
      </c>
      <c r="F13" s="114">
        <v>35593.879999999961</v>
      </c>
    </row>
    <row r="14" spans="1:6" x14ac:dyDescent="0.3">
      <c r="A14" s="116" t="s">
        <v>642</v>
      </c>
      <c r="B14" s="116" t="s">
        <v>611</v>
      </c>
      <c r="C14" s="115" t="s">
        <v>620</v>
      </c>
      <c r="D14" s="114"/>
      <c r="E14" s="114">
        <v>15220.800000000001</v>
      </c>
      <c r="F14" s="114">
        <v>21027.290000000008</v>
      </c>
    </row>
    <row r="15" spans="1:6" x14ac:dyDescent="0.3">
      <c r="A15" s="113" t="s">
        <v>641</v>
      </c>
      <c r="B15" s="113"/>
      <c r="C15" s="113"/>
      <c r="D15" s="112">
        <f>SUM(D12:D13)</f>
        <v>9764.5399999999972</v>
      </c>
      <c r="E15" s="112">
        <v>63635.78</v>
      </c>
      <c r="F15" s="112">
        <v>90110.850000000108</v>
      </c>
    </row>
    <row r="16" spans="1:6" x14ac:dyDescent="0.3">
      <c r="A16" s="116" t="s">
        <v>55</v>
      </c>
      <c r="B16" s="116" t="s">
        <v>611</v>
      </c>
      <c r="C16" s="115" t="s">
        <v>610</v>
      </c>
      <c r="D16" s="114">
        <v>11171.820000000002</v>
      </c>
      <c r="E16" s="114">
        <v>11510.360000000006</v>
      </c>
      <c r="F16" s="114">
        <v>19973.860000000022</v>
      </c>
    </row>
    <row r="17" spans="1:6" x14ac:dyDescent="0.3">
      <c r="A17" s="113" t="s">
        <v>640</v>
      </c>
      <c r="B17" s="113"/>
      <c r="C17" s="113"/>
      <c r="D17" s="112">
        <f>SUM(D16)</f>
        <v>11171.820000000002</v>
      </c>
      <c r="E17" s="112">
        <v>11510.360000000006</v>
      </c>
      <c r="F17" s="112">
        <v>19973.860000000022</v>
      </c>
    </row>
    <row r="18" spans="1:6" x14ac:dyDescent="0.3">
      <c r="A18" s="116" t="s">
        <v>605</v>
      </c>
      <c r="B18" s="116" t="s">
        <v>613</v>
      </c>
      <c r="C18" s="115" t="s">
        <v>612</v>
      </c>
      <c r="D18" s="114">
        <v>24420.479999999985</v>
      </c>
      <c r="E18" s="114">
        <v>27650.000000000106</v>
      </c>
      <c r="F18" s="114">
        <v>27428.799999999996</v>
      </c>
    </row>
    <row r="19" spans="1:6" x14ac:dyDescent="0.3">
      <c r="A19" s="116" t="s">
        <v>605</v>
      </c>
      <c r="B19" s="116" t="s">
        <v>611</v>
      </c>
      <c r="C19" s="115" t="s">
        <v>610</v>
      </c>
      <c r="D19" s="114">
        <v>66664.110000000015</v>
      </c>
      <c r="E19" s="114">
        <v>132192.17000000001</v>
      </c>
      <c r="F19" s="114">
        <v>109224.9099999998</v>
      </c>
    </row>
    <row r="20" spans="1:6" x14ac:dyDescent="0.3">
      <c r="A20" s="113" t="s">
        <v>639</v>
      </c>
      <c r="B20" s="113"/>
      <c r="C20" s="113"/>
      <c r="D20" s="112">
        <f>SUM(D18:D19)</f>
        <v>91084.59</v>
      </c>
      <c r="E20" s="112">
        <v>159842.17000000013</v>
      </c>
      <c r="F20" s="112">
        <v>136653.70999999979</v>
      </c>
    </row>
    <row r="21" spans="1:6" x14ac:dyDescent="0.3">
      <c r="A21" s="116" t="s">
        <v>599</v>
      </c>
      <c r="B21" s="116" t="s">
        <v>613</v>
      </c>
      <c r="C21" s="115" t="s">
        <v>612</v>
      </c>
      <c r="D21" s="114">
        <v>1017.5200000000001</v>
      </c>
      <c r="E21" s="114">
        <v>1282.9599999999996</v>
      </c>
      <c r="F21" s="114">
        <v>4114.3199999999961</v>
      </c>
    </row>
    <row r="22" spans="1:6" x14ac:dyDescent="0.3">
      <c r="A22" s="116" t="s">
        <v>599</v>
      </c>
      <c r="B22" s="116" t="s">
        <v>611</v>
      </c>
      <c r="C22" s="115" t="s">
        <v>610</v>
      </c>
      <c r="D22" s="114">
        <v>3723.94</v>
      </c>
      <c r="E22" s="114">
        <v>3723.94</v>
      </c>
      <c r="F22" s="114">
        <v>7786.420000000001</v>
      </c>
    </row>
    <row r="23" spans="1:6" x14ac:dyDescent="0.3">
      <c r="A23" s="113" t="s">
        <v>638</v>
      </c>
      <c r="B23" s="113"/>
      <c r="C23" s="113"/>
      <c r="D23" s="112">
        <f>SUM(D21:D22)</f>
        <v>4741.46</v>
      </c>
      <c r="E23" s="112">
        <v>5006.9000000000005</v>
      </c>
      <c r="F23" s="112">
        <v>11900.739999999998</v>
      </c>
    </row>
    <row r="24" spans="1:6" x14ac:dyDescent="0.3">
      <c r="A24" s="116" t="s">
        <v>603</v>
      </c>
      <c r="B24" s="116" t="s">
        <v>613</v>
      </c>
      <c r="C24" s="115" t="s">
        <v>612</v>
      </c>
      <c r="D24" s="114">
        <v>8095.9199999999892</v>
      </c>
      <c r="E24" s="114">
        <v>19686.800000000025</v>
      </c>
      <c r="F24" s="114">
        <v>30791.039999999884</v>
      </c>
    </row>
    <row r="25" spans="1:6" x14ac:dyDescent="0.3">
      <c r="A25" s="116" t="s">
        <v>603</v>
      </c>
      <c r="B25" s="116" t="s">
        <v>611</v>
      </c>
      <c r="C25" s="115" t="s">
        <v>610</v>
      </c>
      <c r="D25" s="114">
        <v>16889.520000000004</v>
      </c>
      <c r="E25" s="114">
        <v>21339.470000000016</v>
      </c>
      <c r="F25" s="114">
        <v>56536.789999999877</v>
      </c>
    </row>
    <row r="26" spans="1:6" x14ac:dyDescent="0.3">
      <c r="A26" s="113" t="s">
        <v>637</v>
      </c>
      <c r="B26" s="113"/>
      <c r="C26" s="113"/>
      <c r="D26" s="112">
        <f>SUM(D24:D25)</f>
        <v>24985.439999999995</v>
      </c>
      <c r="E26" s="112">
        <v>41026.27000000004</v>
      </c>
      <c r="F26" s="112">
        <v>87327.829999999769</v>
      </c>
    </row>
    <row r="27" spans="1:6" x14ac:dyDescent="0.3">
      <c r="A27" s="116" t="s">
        <v>636</v>
      </c>
      <c r="B27" s="116" t="s">
        <v>611</v>
      </c>
      <c r="C27" s="115" t="s">
        <v>610</v>
      </c>
      <c r="D27" s="114"/>
      <c r="E27" s="114">
        <v>1692.7</v>
      </c>
      <c r="F27" s="114">
        <v>60461.030000000021</v>
      </c>
    </row>
    <row r="28" spans="1:6" x14ac:dyDescent="0.3">
      <c r="A28" s="113" t="s">
        <v>635</v>
      </c>
      <c r="B28" s="113"/>
      <c r="C28" s="113"/>
      <c r="D28" s="112"/>
      <c r="E28" s="112">
        <v>1692.7</v>
      </c>
      <c r="F28" s="112">
        <v>60461.030000000021</v>
      </c>
    </row>
    <row r="29" spans="1:6" x14ac:dyDescent="0.3">
      <c r="A29" s="116" t="s">
        <v>598</v>
      </c>
      <c r="B29" s="116" t="s">
        <v>613</v>
      </c>
      <c r="C29" s="115" t="s">
        <v>612</v>
      </c>
      <c r="D29" s="114">
        <v>2212</v>
      </c>
      <c r="E29" s="114">
        <v>4733.6799999999976</v>
      </c>
      <c r="F29" s="114">
        <v>5706.9599999999964</v>
      </c>
    </row>
    <row r="30" spans="1:6" x14ac:dyDescent="0.3">
      <c r="A30" s="113" t="s">
        <v>634</v>
      </c>
      <c r="B30" s="113"/>
      <c r="C30" s="113"/>
      <c r="D30" s="112">
        <f>SUM(D29)</f>
        <v>2212</v>
      </c>
      <c r="E30" s="112">
        <v>4733.6799999999976</v>
      </c>
      <c r="F30" s="112">
        <v>5706.9599999999964</v>
      </c>
    </row>
    <row r="31" spans="1:6" x14ac:dyDescent="0.3">
      <c r="A31" s="116" t="s">
        <v>592</v>
      </c>
      <c r="B31" s="116" t="s">
        <v>611</v>
      </c>
      <c r="C31" s="115" t="s">
        <v>610</v>
      </c>
      <c r="D31" s="114">
        <v>16927.000000000004</v>
      </c>
      <c r="E31" s="114">
        <v>24374.88000000003</v>
      </c>
      <c r="F31" s="114">
        <v>20989.480000000025</v>
      </c>
    </row>
    <row r="32" spans="1:6" x14ac:dyDescent="0.3">
      <c r="A32" s="113" t="s">
        <v>633</v>
      </c>
      <c r="B32" s="113"/>
      <c r="C32" s="113"/>
      <c r="D32" s="112">
        <f>SUM(D31)</f>
        <v>16927.000000000004</v>
      </c>
      <c r="E32" s="112">
        <v>24374.88000000003</v>
      </c>
      <c r="F32" s="112">
        <v>20989.480000000025</v>
      </c>
    </row>
    <row r="33" spans="1:6" x14ac:dyDescent="0.3">
      <c r="A33" s="116" t="s">
        <v>595</v>
      </c>
      <c r="B33" s="116" t="s">
        <v>613</v>
      </c>
      <c r="C33" s="115" t="s">
        <v>612</v>
      </c>
      <c r="D33" s="114">
        <v>1415.68</v>
      </c>
      <c r="E33" s="114">
        <v>88.480000000000018</v>
      </c>
      <c r="F33" s="114">
        <v>0</v>
      </c>
    </row>
    <row r="34" spans="1:6" x14ac:dyDescent="0.3">
      <c r="A34" s="116" t="s">
        <v>595</v>
      </c>
      <c r="B34" s="116" t="s">
        <v>611</v>
      </c>
      <c r="C34" s="115" t="s">
        <v>610</v>
      </c>
      <c r="D34" s="114"/>
      <c r="E34" s="114">
        <v>27760.280000000006</v>
      </c>
      <c r="F34" s="114">
        <v>5755.18</v>
      </c>
    </row>
    <row r="35" spans="1:6" x14ac:dyDescent="0.3">
      <c r="A35" s="113" t="s">
        <v>632</v>
      </c>
      <c r="B35" s="113"/>
      <c r="C35" s="113"/>
      <c r="D35" s="112">
        <f>SUM(D33)</f>
        <v>1415.68</v>
      </c>
      <c r="E35" s="112">
        <v>27848.760000000006</v>
      </c>
      <c r="F35" s="112">
        <v>5755.1800000000039</v>
      </c>
    </row>
    <row r="36" spans="1:6" x14ac:dyDescent="0.3">
      <c r="A36" s="116" t="s">
        <v>585</v>
      </c>
      <c r="B36" s="116" t="s">
        <v>611</v>
      </c>
      <c r="C36" s="115" t="s">
        <v>610</v>
      </c>
      <c r="D36" s="114">
        <v>32696.400000000005</v>
      </c>
      <c r="E36" s="114">
        <v>89872.839999999967</v>
      </c>
      <c r="F36" s="114">
        <v>79998.779999999839</v>
      </c>
    </row>
    <row r="37" spans="1:6" x14ac:dyDescent="0.3">
      <c r="A37" s="113" t="s">
        <v>631</v>
      </c>
      <c r="B37" s="113"/>
      <c r="C37" s="113"/>
      <c r="D37" s="112">
        <f>SUM(D36)</f>
        <v>32696.400000000005</v>
      </c>
      <c r="E37" s="112">
        <v>89872.839999999967</v>
      </c>
      <c r="F37" s="112">
        <v>79998.779999999839</v>
      </c>
    </row>
    <row r="38" spans="1:6" x14ac:dyDescent="0.3">
      <c r="A38" s="116" t="s">
        <v>630</v>
      </c>
      <c r="B38" s="116" t="s">
        <v>613</v>
      </c>
      <c r="C38" s="115" t="s">
        <v>612</v>
      </c>
      <c r="D38" s="114"/>
      <c r="E38" s="114">
        <v>7653.5199999999977</v>
      </c>
      <c r="F38" s="114">
        <v>5751.2</v>
      </c>
    </row>
    <row r="39" spans="1:6" x14ac:dyDescent="0.3">
      <c r="A39" s="113" t="s">
        <v>629</v>
      </c>
      <c r="B39" s="113"/>
      <c r="C39" s="113"/>
      <c r="D39" s="112"/>
      <c r="E39" s="112">
        <v>7653.5199999999977</v>
      </c>
      <c r="F39" s="112">
        <v>5751.2</v>
      </c>
    </row>
    <row r="40" spans="1:6" x14ac:dyDescent="0.3">
      <c r="A40" s="116" t="s">
        <v>600</v>
      </c>
      <c r="B40" s="116" t="s">
        <v>611</v>
      </c>
      <c r="C40" s="115" t="s">
        <v>610</v>
      </c>
      <c r="D40" s="114">
        <v>27760.28000000001</v>
      </c>
      <c r="E40" s="114">
        <v>27676.720000000027</v>
      </c>
      <c r="F40" s="114">
        <v>26406.119999999959</v>
      </c>
    </row>
    <row r="41" spans="1:6" x14ac:dyDescent="0.3">
      <c r="A41" s="113" t="s">
        <v>628</v>
      </c>
      <c r="B41" s="113"/>
      <c r="C41" s="113"/>
      <c r="D41" s="112">
        <f>SUM(D40)</f>
        <v>27760.28000000001</v>
      </c>
      <c r="E41" s="112">
        <v>27676.720000000027</v>
      </c>
      <c r="F41" s="112">
        <v>26406.119999999959</v>
      </c>
    </row>
    <row r="42" spans="1:6" x14ac:dyDescent="0.3">
      <c r="A42" s="116" t="s">
        <v>597</v>
      </c>
      <c r="B42" s="116" t="s">
        <v>611</v>
      </c>
      <c r="C42" s="115" t="s">
        <v>610</v>
      </c>
      <c r="D42" s="114">
        <v>13177.82</v>
      </c>
      <c r="E42" s="114">
        <v>15911.380000000008</v>
      </c>
      <c r="F42" s="114">
        <v>33841.380000000019</v>
      </c>
    </row>
    <row r="43" spans="1:6" x14ac:dyDescent="0.3">
      <c r="A43" s="113" t="s">
        <v>627</v>
      </c>
      <c r="B43" s="113"/>
      <c r="C43" s="113"/>
      <c r="D43" s="112">
        <f>SUM(D42)</f>
        <v>13177.82</v>
      </c>
      <c r="E43" s="112">
        <v>15911.380000000008</v>
      </c>
      <c r="F43" s="112">
        <v>33841.380000000019</v>
      </c>
    </row>
    <row r="44" spans="1:6" x14ac:dyDescent="0.3">
      <c r="A44" s="116" t="s">
        <v>607</v>
      </c>
      <c r="B44" s="116" t="s">
        <v>613</v>
      </c>
      <c r="C44" s="115" t="s">
        <v>612</v>
      </c>
      <c r="D44" s="114">
        <v>23933.84</v>
      </c>
      <c r="E44" s="114">
        <v>30392.880000000045</v>
      </c>
      <c r="F44" s="114">
        <v>33710.879999999961</v>
      </c>
    </row>
    <row r="45" spans="1:6" x14ac:dyDescent="0.3">
      <c r="A45" s="116" t="s">
        <v>607</v>
      </c>
      <c r="B45" s="116" t="s">
        <v>611</v>
      </c>
      <c r="C45" s="115" t="s">
        <v>610</v>
      </c>
      <c r="D45" s="114">
        <v>63932.239999999976</v>
      </c>
      <c r="E45" s="114">
        <v>140463.40000000008</v>
      </c>
      <c r="F45" s="114">
        <v>129127.31999999896</v>
      </c>
    </row>
    <row r="46" spans="1:6" x14ac:dyDescent="0.3">
      <c r="A46" s="116" t="s">
        <v>607</v>
      </c>
      <c r="B46" s="116" t="s">
        <v>621</v>
      </c>
      <c r="C46" s="115" t="s">
        <v>620</v>
      </c>
      <c r="D46" s="114">
        <v>300896.62999999983</v>
      </c>
      <c r="E46" s="114">
        <v>433748.17000000126</v>
      </c>
      <c r="F46" s="114">
        <v>401154.88000000117</v>
      </c>
    </row>
    <row r="47" spans="1:6" x14ac:dyDescent="0.3">
      <c r="A47" s="113" t="s">
        <v>626</v>
      </c>
      <c r="B47" s="113"/>
      <c r="C47" s="113"/>
      <c r="D47" s="112">
        <f>SUM(D44:D46)</f>
        <v>388762.70999999979</v>
      </c>
      <c r="E47" s="112">
        <v>604604.45000000135</v>
      </c>
      <c r="F47" s="112">
        <v>563993.08000000007</v>
      </c>
    </row>
    <row r="48" spans="1:6" x14ac:dyDescent="0.3">
      <c r="A48" s="116" t="s">
        <v>71</v>
      </c>
      <c r="B48" s="116" t="s">
        <v>613</v>
      </c>
      <c r="C48" s="115" t="s">
        <v>612</v>
      </c>
      <c r="D48" s="114">
        <v>265.44</v>
      </c>
      <c r="E48" s="114">
        <v>796.31999999999994</v>
      </c>
      <c r="F48" s="114">
        <v>353.92000000000007</v>
      </c>
    </row>
    <row r="49" spans="1:6" x14ac:dyDescent="0.3">
      <c r="A49" s="113" t="s">
        <v>625</v>
      </c>
      <c r="B49" s="113"/>
      <c r="C49" s="113"/>
      <c r="D49" s="112">
        <f>SUM(D48)</f>
        <v>265.44</v>
      </c>
      <c r="E49" s="112">
        <v>796.31999999999994</v>
      </c>
      <c r="F49" s="112">
        <v>353.92000000000007</v>
      </c>
    </row>
    <row r="50" spans="1:6" x14ac:dyDescent="0.3">
      <c r="A50" s="116" t="s">
        <v>601</v>
      </c>
      <c r="B50" s="116" t="s">
        <v>613</v>
      </c>
      <c r="C50" s="115" t="s">
        <v>612</v>
      </c>
      <c r="D50" s="114"/>
      <c r="E50" s="114">
        <v>3760.3999999999992</v>
      </c>
      <c r="F50" s="114">
        <v>31366.160000000044</v>
      </c>
    </row>
    <row r="51" spans="1:6" x14ac:dyDescent="0.3">
      <c r="A51" s="116" t="s">
        <v>601</v>
      </c>
      <c r="B51" s="116" t="s">
        <v>611</v>
      </c>
      <c r="C51" s="115" t="s">
        <v>610</v>
      </c>
      <c r="D51" s="114"/>
      <c r="E51" s="114">
        <v>53908.340000000011</v>
      </c>
      <c r="F51" s="114">
        <v>124341.24999999993</v>
      </c>
    </row>
    <row r="52" spans="1:6" x14ac:dyDescent="0.3">
      <c r="A52" s="113" t="s">
        <v>624</v>
      </c>
      <c r="B52" s="113"/>
      <c r="C52" s="113"/>
      <c r="D52" s="112"/>
      <c r="E52" s="112">
        <v>57668.740000000013</v>
      </c>
      <c r="F52" s="112">
        <v>155707.40999999995</v>
      </c>
    </row>
    <row r="53" spans="1:6" x14ac:dyDescent="0.3">
      <c r="A53" s="116" t="s">
        <v>623</v>
      </c>
      <c r="B53" s="116" t="s">
        <v>611</v>
      </c>
      <c r="C53" s="115" t="s">
        <v>610</v>
      </c>
      <c r="D53" s="114">
        <v>24328.499999999996</v>
      </c>
      <c r="E53" s="114">
        <v>48492.68000000008</v>
      </c>
      <c r="F53" s="114">
        <v>56129.590000000098</v>
      </c>
    </row>
    <row r="54" spans="1:6" x14ac:dyDescent="0.3">
      <c r="A54" s="113" t="s">
        <v>622</v>
      </c>
      <c r="B54" s="113"/>
      <c r="C54" s="113"/>
      <c r="D54" s="112">
        <f>SUM(D53)</f>
        <v>24328.499999999996</v>
      </c>
      <c r="E54" s="112">
        <v>48492.68000000008</v>
      </c>
      <c r="F54" s="112">
        <v>56129.590000000098</v>
      </c>
    </row>
    <row r="55" spans="1:6" x14ac:dyDescent="0.3">
      <c r="A55" s="116" t="s">
        <v>606</v>
      </c>
      <c r="B55" s="116" t="s">
        <v>613</v>
      </c>
      <c r="C55" s="115" t="s">
        <v>612</v>
      </c>
      <c r="D55" s="114">
        <v>23535.680000000008</v>
      </c>
      <c r="E55" s="114">
        <v>92417.360000000423</v>
      </c>
      <c r="F55" s="114">
        <v>64413.440000000337</v>
      </c>
    </row>
    <row r="56" spans="1:6" x14ac:dyDescent="0.3">
      <c r="A56" s="116" t="s">
        <v>606</v>
      </c>
      <c r="B56" s="116" t="s">
        <v>611</v>
      </c>
      <c r="C56" s="115" t="s">
        <v>610</v>
      </c>
      <c r="D56" s="114">
        <v>255156.7999999992</v>
      </c>
      <c r="E56" s="114">
        <v>336333.799999999</v>
      </c>
      <c r="F56" s="114">
        <v>327698.10000001115</v>
      </c>
    </row>
    <row r="57" spans="1:6" x14ac:dyDescent="0.3">
      <c r="A57" s="116" t="s">
        <v>606</v>
      </c>
      <c r="B57" s="116" t="s">
        <v>621</v>
      </c>
      <c r="C57" s="115" t="s">
        <v>620</v>
      </c>
      <c r="D57" s="114">
        <v>306118.20999999967</v>
      </c>
      <c r="E57" s="114">
        <v>474259.48999999842</v>
      </c>
      <c r="F57" s="114">
        <v>542256.23999999557</v>
      </c>
    </row>
    <row r="58" spans="1:6" x14ac:dyDescent="0.3">
      <c r="A58" s="113" t="s">
        <v>619</v>
      </c>
      <c r="B58" s="113"/>
      <c r="C58" s="113"/>
      <c r="D58" s="112">
        <f>SUM(D55:D57)</f>
        <v>584810.6899999989</v>
      </c>
      <c r="E58" s="112">
        <v>903010.64999999769</v>
      </c>
      <c r="F58" s="112">
        <v>934367.78000000725</v>
      </c>
    </row>
    <row r="59" spans="1:6" x14ac:dyDescent="0.3">
      <c r="A59" s="116" t="s">
        <v>587</v>
      </c>
      <c r="B59" s="116" t="s">
        <v>613</v>
      </c>
      <c r="C59" s="115" t="s">
        <v>612</v>
      </c>
      <c r="D59" s="114">
        <v>1194.48</v>
      </c>
      <c r="E59" s="114">
        <v>3716.1600000000003</v>
      </c>
      <c r="F59" s="114">
        <v>1504.1599999999999</v>
      </c>
    </row>
    <row r="60" spans="1:6" x14ac:dyDescent="0.3">
      <c r="A60" s="113" t="s">
        <v>618</v>
      </c>
      <c r="B60" s="113"/>
      <c r="C60" s="113"/>
      <c r="D60" s="112">
        <f>SUM(D59)</f>
        <v>1194.48</v>
      </c>
      <c r="E60" s="112">
        <v>3716.1600000000003</v>
      </c>
      <c r="F60" s="112">
        <v>1504.1599999999999</v>
      </c>
    </row>
    <row r="61" spans="1:6" x14ac:dyDescent="0.3">
      <c r="A61" s="116" t="s">
        <v>617</v>
      </c>
      <c r="B61" s="116" t="s">
        <v>613</v>
      </c>
      <c r="C61" s="115" t="s">
        <v>612</v>
      </c>
      <c r="D61" s="114">
        <v>12829.59999999996</v>
      </c>
      <c r="E61" s="114">
        <v>15262.799999999943</v>
      </c>
      <c r="F61" s="114">
        <v>13802.88000000027</v>
      </c>
    </row>
    <row r="62" spans="1:6" x14ac:dyDescent="0.3">
      <c r="A62" s="116" t="s">
        <v>617</v>
      </c>
      <c r="B62" s="116" t="s">
        <v>611</v>
      </c>
      <c r="C62" s="115" t="s">
        <v>610</v>
      </c>
      <c r="D62" s="114">
        <v>9059.64</v>
      </c>
      <c r="E62" s="114">
        <v>20781.830000000002</v>
      </c>
      <c r="F62" s="114">
        <v>33412.740000000005</v>
      </c>
    </row>
    <row r="63" spans="1:6" x14ac:dyDescent="0.3">
      <c r="A63" s="113" t="s">
        <v>616</v>
      </c>
      <c r="B63" s="113"/>
      <c r="C63" s="113"/>
      <c r="D63" s="112">
        <f>SUM(D61:D62)</f>
        <v>21889.239999999962</v>
      </c>
      <c r="E63" s="112">
        <v>36044.629999999946</v>
      </c>
      <c r="F63" s="112">
        <v>47215.620000000272</v>
      </c>
    </row>
    <row r="64" spans="1:6" x14ac:dyDescent="0.3">
      <c r="A64" s="116" t="s">
        <v>593</v>
      </c>
      <c r="B64" s="116" t="s">
        <v>613</v>
      </c>
      <c r="C64" s="115" t="s">
        <v>612</v>
      </c>
      <c r="D64" s="114">
        <v>3848.8799999999992</v>
      </c>
      <c r="E64" s="114">
        <v>6370.5599999999849</v>
      </c>
      <c r="F64" s="114">
        <v>6724.4799999999923</v>
      </c>
    </row>
    <row r="65" spans="1:6" x14ac:dyDescent="0.3">
      <c r="A65" s="116" t="s">
        <v>593</v>
      </c>
      <c r="B65" s="116" t="s">
        <v>611</v>
      </c>
      <c r="C65" s="115" t="s">
        <v>610</v>
      </c>
      <c r="D65" s="114">
        <v>15911.380000000001</v>
      </c>
      <c r="E65" s="114">
        <v>13678.310000000001</v>
      </c>
      <c r="F65" s="114">
        <v>49765.37999999999</v>
      </c>
    </row>
    <row r="66" spans="1:6" x14ac:dyDescent="0.3">
      <c r="A66" s="113" t="s">
        <v>615</v>
      </c>
      <c r="B66" s="113"/>
      <c r="C66" s="113"/>
      <c r="D66" s="112">
        <f>SUM(D64:D65)</f>
        <v>19760.260000000002</v>
      </c>
      <c r="E66" s="112">
        <v>20048.869999999988</v>
      </c>
      <c r="F66" s="112">
        <v>56489.859999999971</v>
      </c>
    </row>
    <row r="67" spans="1:6" x14ac:dyDescent="0.3">
      <c r="A67" s="116" t="s">
        <v>117</v>
      </c>
      <c r="B67" s="116" t="s">
        <v>613</v>
      </c>
      <c r="C67" s="115" t="s">
        <v>612</v>
      </c>
      <c r="D67" s="114">
        <v>6060.8799999999956</v>
      </c>
      <c r="E67" s="114">
        <v>10794.56000000001</v>
      </c>
      <c r="F67" s="114">
        <v>11192.719999999983</v>
      </c>
    </row>
    <row r="68" spans="1:6" x14ac:dyDescent="0.3">
      <c r="A68" s="116" t="s">
        <v>117</v>
      </c>
      <c r="B68" s="116" t="s">
        <v>611</v>
      </c>
      <c r="C68" s="115" t="s">
        <v>610</v>
      </c>
      <c r="D68" s="114">
        <v>10290.14</v>
      </c>
      <c r="E68" s="114">
        <v>56152.170000000013</v>
      </c>
      <c r="F68" s="114">
        <v>47437.989999999962</v>
      </c>
    </row>
    <row r="69" spans="1:6" x14ac:dyDescent="0.3">
      <c r="A69" s="113" t="s">
        <v>614</v>
      </c>
      <c r="B69" s="113"/>
      <c r="C69" s="113"/>
      <c r="D69" s="112">
        <f>SUM(D67:D68)</f>
        <v>16351.019999999995</v>
      </c>
      <c r="E69" s="112">
        <v>66946.730000000025</v>
      </c>
      <c r="F69" s="112">
        <v>58630.709999999948</v>
      </c>
    </row>
    <row r="70" spans="1:6" x14ac:dyDescent="0.3">
      <c r="A70" s="116" t="s">
        <v>604</v>
      </c>
      <c r="B70" s="116" t="s">
        <v>613</v>
      </c>
      <c r="C70" s="115" t="s">
        <v>612</v>
      </c>
      <c r="D70" s="114"/>
      <c r="E70" s="114">
        <v>176.96</v>
      </c>
      <c r="F70" s="114">
        <v>88.47999999999999</v>
      </c>
    </row>
    <row r="71" spans="1:6" x14ac:dyDescent="0.3">
      <c r="A71" s="116" t="s">
        <v>604</v>
      </c>
      <c r="B71" s="116" t="s">
        <v>611</v>
      </c>
      <c r="C71" s="115" t="s">
        <v>610</v>
      </c>
      <c r="D71" s="114">
        <v>34907.710000000014</v>
      </c>
      <c r="E71" s="114">
        <v>48386.639999999963</v>
      </c>
      <c r="F71" s="114">
        <v>46974.109999999841</v>
      </c>
    </row>
    <row r="72" spans="1:6" x14ac:dyDescent="0.3">
      <c r="A72" s="113" t="s">
        <v>609</v>
      </c>
      <c r="B72" s="113"/>
      <c r="C72" s="113"/>
      <c r="D72" s="112">
        <f>D71</f>
        <v>34907.710000000014</v>
      </c>
      <c r="E72" s="112">
        <v>48563.599999999969</v>
      </c>
      <c r="F72" s="112">
        <v>47062.589999999836</v>
      </c>
    </row>
    <row r="73" spans="1:6" s="108" customFormat="1" x14ac:dyDescent="0.3">
      <c r="A73" s="111" t="s">
        <v>586</v>
      </c>
      <c r="B73" s="111"/>
      <c r="C73" s="110"/>
      <c r="D73" s="109">
        <f>D6+D9+D11+D15+D17+D20+D23+D26+D30+D32+D35+D37+D41+D43+D47+D49+D54+D58+D60+D63+D66+D69+D72+D52+D39+D28</f>
        <v>1385756.6199999987</v>
      </c>
      <c r="E73" s="109">
        <f>E6+E9+E11+E15+E17+E20+E23+E26+E30+E32+E35+E37+E41+E43+E47+E49+E54+E58+E60+E63+E66+E69+E72+E52+E39+E28</f>
        <v>2341246.6500000004</v>
      </c>
      <c r="F73" s="109">
        <f>F6+F9+F11+F15+F17+F20+F23+F26+F30+F32+F35+F37+F41+F43+F47+F49+F54+F58+F60+F63+F66+F69+F72+F52+F39+F28</f>
        <v>2570959.7800000068</v>
      </c>
    </row>
  </sheetData>
  <pageMargins left="0.7" right="0.7" top="0.75" bottom="0.75" header="0.3" footer="0.3"/>
  <pageSetup paperSize="9" scale="63"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43E0-64A9-40E3-B03F-24B3843E23C2}">
  <sheetPr>
    <tabColor rgb="FF92D050"/>
  </sheetPr>
  <dimension ref="A1:F76"/>
  <sheetViews>
    <sheetView view="pageBreakPreview" zoomScale="60" zoomScaleNormal="73" workbookViewId="0">
      <selection activeCell="T46" sqref="T46"/>
    </sheetView>
  </sheetViews>
  <sheetFormatPr defaultColWidth="9.1796875" defaultRowHeight="14" x14ac:dyDescent="0.3"/>
  <cols>
    <col min="1" max="1" width="47.81640625" style="106" bestFit="1" customWidth="1"/>
    <col min="2" max="2" width="15.81640625" style="106" customWidth="1"/>
    <col min="3" max="3" width="27.81640625" style="106" bestFit="1" customWidth="1"/>
    <col min="4" max="4" width="21" style="107" customWidth="1"/>
    <col min="5" max="5" width="21.26953125" style="107" customWidth="1"/>
    <col min="6" max="6" width="18.26953125" style="107" customWidth="1"/>
    <col min="7" max="16384" width="9.1796875" style="106"/>
  </cols>
  <sheetData>
    <row r="1" spans="1:6" ht="43.5" customHeight="1" x14ac:dyDescent="0.3">
      <c r="D1" s="232"/>
      <c r="E1" s="753"/>
      <c r="F1" s="753"/>
    </row>
    <row r="2" spans="1:6" s="120" customFormat="1" ht="15" x14ac:dyDescent="0.3">
      <c r="A2" s="120" t="s">
        <v>652</v>
      </c>
      <c r="D2" s="121"/>
      <c r="E2" s="121"/>
      <c r="F2" s="121"/>
    </row>
    <row r="3" spans="1:6" s="117" customFormat="1" ht="28" x14ac:dyDescent="0.3">
      <c r="A3" s="231" t="s">
        <v>608</v>
      </c>
      <c r="B3" s="231" t="s">
        <v>651</v>
      </c>
      <c r="C3" s="231" t="s">
        <v>650</v>
      </c>
      <c r="D3" s="230" t="s">
        <v>915</v>
      </c>
      <c r="E3" s="230" t="s">
        <v>916</v>
      </c>
      <c r="F3" s="230" t="s">
        <v>917</v>
      </c>
    </row>
    <row r="4" spans="1:6" x14ac:dyDescent="0.3">
      <c r="A4" s="116" t="s">
        <v>594</v>
      </c>
      <c r="B4" s="116" t="s">
        <v>613</v>
      </c>
      <c r="C4" s="115" t="s">
        <v>612</v>
      </c>
      <c r="D4" s="114">
        <v>0</v>
      </c>
      <c r="E4" s="114">
        <v>0</v>
      </c>
      <c r="F4" s="114">
        <v>0</v>
      </c>
    </row>
    <row r="5" spans="1:6" x14ac:dyDescent="0.3">
      <c r="A5" s="116" t="s">
        <v>594</v>
      </c>
      <c r="B5" s="116" t="s">
        <v>611</v>
      </c>
      <c r="C5" s="115" t="s">
        <v>610</v>
      </c>
      <c r="D5" s="114">
        <v>13541.60000000002</v>
      </c>
      <c r="E5" s="114">
        <v>19973.86</v>
      </c>
      <c r="F5" s="114">
        <v>15234.300000000032</v>
      </c>
    </row>
    <row r="6" spans="1:6" x14ac:dyDescent="0.3">
      <c r="A6" s="113" t="s">
        <v>646</v>
      </c>
      <c r="B6" s="113"/>
      <c r="C6" s="113"/>
      <c r="D6" s="112">
        <v>13541.60000000002</v>
      </c>
      <c r="E6" s="112">
        <v>19973.86</v>
      </c>
      <c r="F6" s="112">
        <v>15234.300000000032</v>
      </c>
    </row>
    <row r="7" spans="1:6" x14ac:dyDescent="0.3">
      <c r="A7" s="115" t="s">
        <v>596</v>
      </c>
      <c r="B7" s="115" t="s">
        <v>613</v>
      </c>
      <c r="C7" s="115" t="s">
        <v>612</v>
      </c>
      <c r="D7" s="114">
        <v>265.4399999999996</v>
      </c>
      <c r="E7" s="114">
        <v>44.24</v>
      </c>
      <c r="F7" s="114">
        <v>0</v>
      </c>
    </row>
    <row r="8" spans="1:6" x14ac:dyDescent="0.3">
      <c r="A8" s="115" t="s">
        <v>596</v>
      </c>
      <c r="B8" s="115" t="s">
        <v>611</v>
      </c>
      <c r="C8" s="115" t="s">
        <v>610</v>
      </c>
      <c r="D8" s="114">
        <v>41301.880000000048</v>
      </c>
      <c r="E8" s="114">
        <v>38255.019999999997</v>
      </c>
      <c r="F8" s="114">
        <v>36562.32000000024</v>
      </c>
    </row>
    <row r="9" spans="1:6" x14ac:dyDescent="0.3">
      <c r="A9" s="113" t="s">
        <v>645</v>
      </c>
      <c r="B9" s="113"/>
      <c r="C9" s="113"/>
      <c r="D9" s="112">
        <v>41567.320000000065</v>
      </c>
      <c r="E9" s="112">
        <v>38299.26</v>
      </c>
      <c r="F9" s="112">
        <v>36562.32000000024</v>
      </c>
    </row>
    <row r="10" spans="1:6" x14ac:dyDescent="0.3">
      <c r="A10" s="115" t="s">
        <v>644</v>
      </c>
      <c r="B10" s="115" t="s">
        <v>613</v>
      </c>
      <c r="C10" s="115" t="s">
        <v>612</v>
      </c>
      <c r="D10" s="114">
        <v>8582.5599999999977</v>
      </c>
      <c r="E10" s="114">
        <v>0</v>
      </c>
      <c r="F10" s="114">
        <v>0</v>
      </c>
    </row>
    <row r="11" spans="1:6" x14ac:dyDescent="0.3">
      <c r="A11" s="113" t="s">
        <v>643</v>
      </c>
      <c r="B11" s="113"/>
      <c r="C11" s="113"/>
      <c r="D11" s="112">
        <v>8582.5599999999977</v>
      </c>
      <c r="E11" s="112">
        <v>0</v>
      </c>
      <c r="F11" s="112">
        <v>0</v>
      </c>
    </row>
    <row r="12" spans="1:6" x14ac:dyDescent="0.3">
      <c r="A12" s="116" t="s">
        <v>642</v>
      </c>
      <c r="B12" s="116" t="s">
        <v>613</v>
      </c>
      <c r="C12" s="115" t="s">
        <v>612</v>
      </c>
      <c r="D12" s="114">
        <v>28844.480000000083</v>
      </c>
      <c r="E12" s="114">
        <v>29552.32</v>
      </c>
      <c r="F12" s="114">
        <v>29198.400000000067</v>
      </c>
    </row>
    <row r="13" spans="1:6" x14ac:dyDescent="0.3">
      <c r="A13" s="116" t="s">
        <v>642</v>
      </c>
      <c r="B13" s="116" t="s">
        <v>611</v>
      </c>
      <c r="C13" s="115" t="s">
        <v>610</v>
      </c>
      <c r="D13" s="114">
        <v>25264.019999999917</v>
      </c>
      <c r="E13" s="114">
        <v>22946.22</v>
      </c>
      <c r="F13" s="114">
        <v>39866.159999999974</v>
      </c>
    </row>
    <row r="14" spans="1:6" x14ac:dyDescent="0.3">
      <c r="A14" s="116" t="s">
        <v>642</v>
      </c>
      <c r="B14" s="116" t="s">
        <v>611</v>
      </c>
      <c r="C14" s="115" t="s">
        <v>620</v>
      </c>
      <c r="D14" s="114">
        <v>24015.039999999979</v>
      </c>
      <c r="E14" s="114">
        <v>20294.400000000001</v>
      </c>
      <c r="F14" s="114">
        <v>34838.720000000001</v>
      </c>
    </row>
    <row r="15" spans="1:6" x14ac:dyDescent="0.3">
      <c r="A15" s="113" t="s">
        <v>641</v>
      </c>
      <c r="B15" s="113"/>
      <c r="C15" s="113"/>
      <c r="D15" s="112">
        <v>78123.539999999979</v>
      </c>
      <c r="E15" s="112">
        <v>72792.94</v>
      </c>
      <c r="F15" s="112">
        <v>103903.28000000004</v>
      </c>
    </row>
    <row r="16" spans="1:6" x14ac:dyDescent="0.3">
      <c r="A16" s="116" t="s">
        <v>55</v>
      </c>
      <c r="B16" s="116" t="s">
        <v>611</v>
      </c>
      <c r="C16" s="115" t="s">
        <v>610</v>
      </c>
      <c r="D16" s="114">
        <v>20312.399999999994</v>
      </c>
      <c r="E16" s="114">
        <v>49426.84</v>
      </c>
      <c r="F16" s="114">
        <v>25390.500000000044</v>
      </c>
    </row>
    <row r="17" spans="1:6" x14ac:dyDescent="0.3">
      <c r="A17" s="113" t="s">
        <v>640</v>
      </c>
      <c r="B17" s="113"/>
      <c r="C17" s="113"/>
      <c r="D17" s="112">
        <v>20312.399999999994</v>
      </c>
      <c r="E17" s="112">
        <v>49426.84</v>
      </c>
      <c r="F17" s="112">
        <v>25390.500000000044</v>
      </c>
    </row>
    <row r="18" spans="1:6" x14ac:dyDescent="0.3">
      <c r="A18" s="116" t="s">
        <v>605</v>
      </c>
      <c r="B18" s="116" t="s">
        <v>613</v>
      </c>
      <c r="C18" s="115" t="s">
        <v>612</v>
      </c>
      <c r="D18" s="114">
        <v>28357.839999999924</v>
      </c>
      <c r="E18" s="114">
        <v>26013.119999999999</v>
      </c>
      <c r="F18" s="114">
        <v>13935.600000000995</v>
      </c>
    </row>
    <row r="19" spans="1:6" x14ac:dyDescent="0.3">
      <c r="A19" s="116" t="s">
        <v>605</v>
      </c>
      <c r="B19" s="116" t="s">
        <v>611</v>
      </c>
      <c r="C19" s="115" t="s">
        <v>610</v>
      </c>
      <c r="D19" s="114">
        <v>81062.809999999939</v>
      </c>
      <c r="E19" s="114">
        <v>111924.63</v>
      </c>
      <c r="F19" s="114">
        <v>42259.739999999932</v>
      </c>
    </row>
    <row r="20" spans="1:6" x14ac:dyDescent="0.3">
      <c r="A20" s="113" t="s">
        <v>639</v>
      </c>
      <c r="B20" s="113"/>
      <c r="C20" s="113"/>
      <c r="D20" s="112">
        <v>109420.64999999985</v>
      </c>
      <c r="E20" s="112">
        <v>137937.75</v>
      </c>
      <c r="F20" s="112">
        <v>56195.340000000928</v>
      </c>
    </row>
    <row r="21" spans="1:6" x14ac:dyDescent="0.3">
      <c r="A21" s="116" t="s">
        <v>599</v>
      </c>
      <c r="B21" s="116" t="s">
        <v>613</v>
      </c>
      <c r="C21" s="115" t="s">
        <v>612</v>
      </c>
      <c r="D21" s="114">
        <v>3096.7999999999975</v>
      </c>
      <c r="E21" s="114">
        <v>3450.72</v>
      </c>
      <c r="F21" s="114">
        <v>2742.8799999999974</v>
      </c>
    </row>
    <row r="22" spans="1:6" x14ac:dyDescent="0.3">
      <c r="A22" s="116" t="s">
        <v>599</v>
      </c>
      <c r="B22" s="116" t="s">
        <v>611</v>
      </c>
      <c r="C22" s="115" t="s">
        <v>610</v>
      </c>
      <c r="D22" s="114">
        <v>48734.080000000009</v>
      </c>
      <c r="E22" s="114">
        <v>0</v>
      </c>
      <c r="F22" s="114">
        <v>21642.139999999978</v>
      </c>
    </row>
    <row r="23" spans="1:6" x14ac:dyDescent="0.3">
      <c r="A23" s="113" t="s">
        <v>638</v>
      </c>
      <c r="B23" s="113"/>
      <c r="C23" s="113"/>
      <c r="D23" s="112">
        <v>51830.880000000012</v>
      </c>
      <c r="E23" s="112">
        <v>3450.72</v>
      </c>
      <c r="F23" s="112">
        <v>24385.019999999975</v>
      </c>
    </row>
    <row r="24" spans="1:6" x14ac:dyDescent="0.3">
      <c r="A24" s="116" t="s">
        <v>603</v>
      </c>
      <c r="B24" s="116" t="s">
        <v>613</v>
      </c>
      <c r="C24" s="115" t="s">
        <v>612</v>
      </c>
      <c r="D24" s="114">
        <v>21146.720000000401</v>
      </c>
      <c r="E24" s="114">
        <v>16014.88</v>
      </c>
      <c r="F24" s="114">
        <v>13448.959999999162</v>
      </c>
    </row>
    <row r="25" spans="1:6" x14ac:dyDescent="0.3">
      <c r="A25" s="116" t="s">
        <v>603</v>
      </c>
      <c r="B25" s="116" t="s">
        <v>611</v>
      </c>
      <c r="C25" s="115" t="s">
        <v>610</v>
      </c>
      <c r="D25" s="114">
        <v>23685.180000000022</v>
      </c>
      <c r="E25" s="114">
        <v>17942.62</v>
      </c>
      <c r="F25" s="114">
        <v>55182.019999999902</v>
      </c>
    </row>
    <row r="26" spans="1:6" x14ac:dyDescent="0.3">
      <c r="A26" s="113" t="s">
        <v>637</v>
      </c>
      <c r="B26" s="113"/>
      <c r="C26" s="113"/>
      <c r="D26" s="112">
        <v>44831.900000000431</v>
      </c>
      <c r="E26" s="112">
        <v>33957.5</v>
      </c>
      <c r="F26" s="112">
        <v>68630.979999999065</v>
      </c>
    </row>
    <row r="27" spans="1:6" x14ac:dyDescent="0.3">
      <c r="A27" s="116" t="s">
        <v>636</v>
      </c>
      <c r="B27" s="116" t="s">
        <v>611</v>
      </c>
      <c r="C27" s="115" t="s">
        <v>610</v>
      </c>
      <c r="D27" s="114">
        <v>103539.77999999997</v>
      </c>
      <c r="E27" s="114">
        <v>72970.42</v>
      </c>
      <c r="F27" s="114">
        <v>42593.369999999617</v>
      </c>
    </row>
    <row r="28" spans="1:6" x14ac:dyDescent="0.3">
      <c r="A28" s="113" t="s">
        <v>635</v>
      </c>
      <c r="B28" s="113"/>
      <c r="C28" s="113"/>
      <c r="D28" s="112">
        <v>103539.77999999997</v>
      </c>
      <c r="E28" s="112">
        <v>72970.42</v>
      </c>
      <c r="F28" s="112">
        <v>42593.369999999617</v>
      </c>
    </row>
    <row r="29" spans="1:6" x14ac:dyDescent="0.3">
      <c r="A29" s="116" t="s">
        <v>598</v>
      </c>
      <c r="B29" s="116" t="s">
        <v>613</v>
      </c>
      <c r="C29" s="115" t="s">
        <v>612</v>
      </c>
      <c r="D29" s="114">
        <v>5353.0400000000136</v>
      </c>
      <c r="E29" s="114">
        <v>3096.8</v>
      </c>
      <c r="F29" s="114">
        <v>5618.4799999999632</v>
      </c>
    </row>
    <row r="30" spans="1:6" x14ac:dyDescent="0.3">
      <c r="A30" s="113" t="s">
        <v>634</v>
      </c>
      <c r="B30" s="113"/>
      <c r="C30" s="113"/>
      <c r="D30" s="112">
        <v>5353.0400000000136</v>
      </c>
      <c r="E30" s="112">
        <v>3096.8</v>
      </c>
      <c r="F30" s="112">
        <v>5618.4799999999632</v>
      </c>
    </row>
    <row r="31" spans="1:6" x14ac:dyDescent="0.3">
      <c r="A31" s="116" t="s">
        <v>592</v>
      </c>
      <c r="B31" s="116" t="s">
        <v>611</v>
      </c>
      <c r="C31" s="115" t="s">
        <v>610</v>
      </c>
      <c r="D31" s="114">
        <v>19635.319999999992</v>
      </c>
      <c r="E31" s="114">
        <v>11171.82</v>
      </c>
      <c r="F31" s="114">
        <v>5416.6399999999849</v>
      </c>
    </row>
    <row r="32" spans="1:6" x14ac:dyDescent="0.3">
      <c r="A32" s="113" t="s">
        <v>633</v>
      </c>
      <c r="B32" s="113"/>
      <c r="C32" s="113"/>
      <c r="D32" s="112">
        <v>19635.319999999992</v>
      </c>
      <c r="E32" s="112">
        <v>11171.82</v>
      </c>
      <c r="F32" s="112">
        <v>5416.6399999999849</v>
      </c>
    </row>
    <row r="33" spans="1:6" x14ac:dyDescent="0.3">
      <c r="A33" s="116" t="s">
        <v>595</v>
      </c>
      <c r="B33" s="116" t="s">
        <v>613</v>
      </c>
      <c r="C33" s="115" t="s">
        <v>612</v>
      </c>
      <c r="D33" s="114">
        <v>0</v>
      </c>
      <c r="E33" s="114">
        <v>0</v>
      </c>
      <c r="F33" s="114">
        <v>0</v>
      </c>
    </row>
    <row r="34" spans="1:6" x14ac:dyDescent="0.3">
      <c r="A34" s="116" t="s">
        <v>595</v>
      </c>
      <c r="B34" s="116" t="s">
        <v>611</v>
      </c>
      <c r="C34" s="115" t="s">
        <v>610</v>
      </c>
      <c r="D34" s="114">
        <v>8463.5000000000218</v>
      </c>
      <c r="E34" s="114">
        <v>18281.16</v>
      </c>
      <c r="F34" s="114">
        <v>14895.759999999966</v>
      </c>
    </row>
    <row r="35" spans="1:6" x14ac:dyDescent="0.3">
      <c r="A35" s="113" t="s">
        <v>632</v>
      </c>
      <c r="B35" s="113"/>
      <c r="C35" s="113"/>
      <c r="D35" s="112">
        <v>8463.5000000000218</v>
      </c>
      <c r="E35" s="112">
        <v>18281.16</v>
      </c>
      <c r="F35" s="112">
        <v>14895.759999999966</v>
      </c>
    </row>
    <row r="36" spans="1:6" x14ac:dyDescent="0.3">
      <c r="A36" s="116" t="s">
        <v>585</v>
      </c>
      <c r="B36" s="116" t="s">
        <v>613</v>
      </c>
      <c r="C36" s="115" t="s">
        <v>612</v>
      </c>
      <c r="D36" s="114"/>
      <c r="E36" s="114"/>
      <c r="F36" s="114">
        <v>840.56000000000006</v>
      </c>
    </row>
    <row r="37" spans="1:6" x14ac:dyDescent="0.3">
      <c r="A37" s="116" t="s">
        <v>585</v>
      </c>
      <c r="B37" s="116" t="s">
        <v>611</v>
      </c>
      <c r="C37" s="115" t="s">
        <v>610</v>
      </c>
      <c r="D37" s="114">
        <v>92407.639999999985</v>
      </c>
      <c r="E37" s="114">
        <v>82200.259999999995</v>
      </c>
      <c r="F37" s="114">
        <v>87171.850000000442</v>
      </c>
    </row>
    <row r="38" spans="1:6" x14ac:dyDescent="0.3">
      <c r="A38" s="113" t="s">
        <v>631</v>
      </c>
      <c r="B38" s="113"/>
      <c r="C38" s="113"/>
      <c r="D38" s="112">
        <v>92407.639999999985</v>
      </c>
      <c r="E38" s="112">
        <v>82200.259999999995</v>
      </c>
      <c r="F38" s="112">
        <v>88012.41000000044</v>
      </c>
    </row>
    <row r="39" spans="1:6" x14ac:dyDescent="0.3">
      <c r="A39" s="116" t="s">
        <v>630</v>
      </c>
      <c r="B39" s="116" t="s">
        <v>613</v>
      </c>
      <c r="C39" s="115" t="s">
        <v>612</v>
      </c>
      <c r="D39" s="114">
        <v>1681.1200000000008</v>
      </c>
      <c r="E39" s="114">
        <v>0</v>
      </c>
      <c r="F39" s="114">
        <v>0</v>
      </c>
    </row>
    <row r="40" spans="1:6" x14ac:dyDescent="0.3">
      <c r="A40" s="113" t="s">
        <v>629</v>
      </c>
      <c r="B40" s="113"/>
      <c r="C40" s="113"/>
      <c r="D40" s="112">
        <v>1681.1200000000008</v>
      </c>
      <c r="E40" s="112">
        <v>0</v>
      </c>
      <c r="F40" s="112">
        <v>0</v>
      </c>
    </row>
    <row r="41" spans="1:6" x14ac:dyDescent="0.3">
      <c r="A41" s="116" t="s">
        <v>600</v>
      </c>
      <c r="B41" s="116" t="s">
        <v>611</v>
      </c>
      <c r="C41" s="115" t="s">
        <v>610</v>
      </c>
      <c r="D41" s="114">
        <v>32988.909999999989</v>
      </c>
      <c r="E41" s="114">
        <v>32077.74</v>
      </c>
      <c r="F41" s="114">
        <v>25369.609999999899</v>
      </c>
    </row>
    <row r="42" spans="1:6" x14ac:dyDescent="0.3">
      <c r="A42" s="113" t="s">
        <v>628</v>
      </c>
      <c r="B42" s="113"/>
      <c r="C42" s="113"/>
      <c r="D42" s="112">
        <v>32988.909999999989</v>
      </c>
      <c r="E42" s="112">
        <v>32077.74</v>
      </c>
      <c r="F42" s="112">
        <v>25369.609999999899</v>
      </c>
    </row>
    <row r="43" spans="1:6" x14ac:dyDescent="0.3">
      <c r="A43" s="116" t="s">
        <v>597</v>
      </c>
      <c r="B43" s="116" t="s">
        <v>611</v>
      </c>
      <c r="C43" s="115" t="s">
        <v>610</v>
      </c>
      <c r="D43" s="114">
        <v>38932.099999999919</v>
      </c>
      <c r="E43" s="114">
        <v>23020.720000000001</v>
      </c>
      <c r="F43" s="114">
        <v>24036.340000000055</v>
      </c>
    </row>
    <row r="44" spans="1:6" x14ac:dyDescent="0.3">
      <c r="A44" s="113" t="s">
        <v>627</v>
      </c>
      <c r="B44" s="113"/>
      <c r="C44" s="113"/>
      <c r="D44" s="112">
        <v>38932.099999999919</v>
      </c>
      <c r="E44" s="112">
        <v>23020.720000000001</v>
      </c>
      <c r="F44" s="112">
        <v>24036.340000000055</v>
      </c>
    </row>
    <row r="45" spans="1:6" x14ac:dyDescent="0.3">
      <c r="A45" s="116" t="s">
        <v>607</v>
      </c>
      <c r="B45" s="116" t="s">
        <v>613</v>
      </c>
      <c r="C45" s="115" t="s">
        <v>612</v>
      </c>
      <c r="D45" s="114">
        <v>27826.959999999861</v>
      </c>
      <c r="E45" s="114">
        <v>28534.799999999999</v>
      </c>
      <c r="F45" s="114">
        <v>25968.879999999364</v>
      </c>
    </row>
    <row r="46" spans="1:6" x14ac:dyDescent="0.3">
      <c r="A46" s="116" t="s">
        <v>607</v>
      </c>
      <c r="B46" s="116" t="s">
        <v>611</v>
      </c>
      <c r="C46" s="115" t="s">
        <v>610</v>
      </c>
      <c r="D46" s="114">
        <v>129737.97999999922</v>
      </c>
      <c r="E46" s="114">
        <v>151078.04</v>
      </c>
      <c r="F46" s="114">
        <v>124510.56000000122</v>
      </c>
    </row>
    <row r="47" spans="1:6" x14ac:dyDescent="0.3">
      <c r="A47" s="116" t="s">
        <v>607</v>
      </c>
      <c r="B47" s="116" t="s">
        <v>621</v>
      </c>
      <c r="C47" s="115" t="s">
        <v>620</v>
      </c>
      <c r="D47" s="114">
        <v>412820.57999998447</v>
      </c>
      <c r="E47" s="114">
        <v>437520.96</v>
      </c>
      <c r="F47" s="114">
        <v>388050.8500000129</v>
      </c>
    </row>
    <row r="48" spans="1:6" x14ac:dyDescent="0.3">
      <c r="A48" s="113" t="s">
        <v>626</v>
      </c>
      <c r="B48" s="113"/>
      <c r="C48" s="113"/>
      <c r="D48" s="112">
        <v>570385.51999998372</v>
      </c>
      <c r="E48" s="112">
        <v>617133.80000000005</v>
      </c>
      <c r="F48" s="112">
        <v>538530.29000001354</v>
      </c>
    </row>
    <row r="49" spans="1:6" x14ac:dyDescent="0.3">
      <c r="A49" s="116" t="s">
        <v>71</v>
      </c>
      <c r="B49" s="116" t="s">
        <v>613</v>
      </c>
      <c r="C49" s="115" t="s">
        <v>612</v>
      </c>
      <c r="D49" s="114">
        <v>398.16000000000008</v>
      </c>
      <c r="E49" s="114">
        <v>486.64</v>
      </c>
      <c r="F49" s="114">
        <v>0</v>
      </c>
    </row>
    <row r="50" spans="1:6" x14ac:dyDescent="0.3">
      <c r="A50" s="113" t="s">
        <v>625</v>
      </c>
      <c r="B50" s="113"/>
      <c r="C50" s="113"/>
      <c r="D50" s="112">
        <v>398.16000000000008</v>
      </c>
      <c r="E50" s="112">
        <v>486.64</v>
      </c>
      <c r="F50" s="112">
        <v>0</v>
      </c>
    </row>
    <row r="51" spans="1:6" x14ac:dyDescent="0.3">
      <c r="A51" s="116" t="s">
        <v>601</v>
      </c>
      <c r="B51" s="116" t="s">
        <v>613</v>
      </c>
      <c r="C51" s="115" t="s">
        <v>612</v>
      </c>
      <c r="D51" s="114">
        <v>31852.799999999857</v>
      </c>
      <c r="E51" s="114">
        <v>15705.2</v>
      </c>
      <c r="F51" s="114">
        <v>16855.439999999173</v>
      </c>
    </row>
    <row r="52" spans="1:6" x14ac:dyDescent="0.3">
      <c r="A52" s="116" t="s">
        <v>601</v>
      </c>
      <c r="B52" s="116" t="s">
        <v>611</v>
      </c>
      <c r="C52" s="115" t="s">
        <v>610</v>
      </c>
      <c r="D52" s="114">
        <v>57807.389999999985</v>
      </c>
      <c r="E52" s="114">
        <v>64486.03</v>
      </c>
      <c r="F52" s="114">
        <v>36566.620000000636</v>
      </c>
    </row>
    <row r="53" spans="1:6" x14ac:dyDescent="0.3">
      <c r="A53" s="113" t="s">
        <v>624</v>
      </c>
      <c r="B53" s="113"/>
      <c r="C53" s="113"/>
      <c r="D53" s="112">
        <v>89660.189999999886</v>
      </c>
      <c r="E53" s="112">
        <v>80191.23</v>
      </c>
      <c r="F53" s="112">
        <v>53422.059999999808</v>
      </c>
    </row>
    <row r="54" spans="1:6" x14ac:dyDescent="0.3">
      <c r="A54" s="116" t="s">
        <v>623</v>
      </c>
      <c r="B54" s="116" t="s">
        <v>611</v>
      </c>
      <c r="C54" s="115" t="s">
        <v>610</v>
      </c>
      <c r="D54" s="114">
        <v>56305.339999999778</v>
      </c>
      <c r="E54" s="114">
        <v>48882.49</v>
      </c>
      <c r="F54" s="114">
        <v>38385.330000000569</v>
      </c>
    </row>
    <row r="55" spans="1:6" x14ac:dyDescent="0.3">
      <c r="A55" s="113" t="s">
        <v>622</v>
      </c>
      <c r="B55" s="113"/>
      <c r="C55" s="113"/>
      <c r="D55" s="112">
        <v>56305.339999999778</v>
      </c>
      <c r="E55" s="112">
        <v>48882.49</v>
      </c>
      <c r="F55" s="112">
        <v>38385.330000000569</v>
      </c>
    </row>
    <row r="56" spans="1:6" x14ac:dyDescent="0.3">
      <c r="A56" s="116" t="s">
        <v>606</v>
      </c>
      <c r="B56" s="116" t="s">
        <v>613</v>
      </c>
      <c r="C56" s="115" t="s">
        <v>612</v>
      </c>
      <c r="D56" s="114">
        <v>80030.159999998956</v>
      </c>
      <c r="E56" s="114">
        <v>82330.64</v>
      </c>
      <c r="F56" s="114">
        <v>74057.760000006005</v>
      </c>
    </row>
    <row r="57" spans="1:6" x14ac:dyDescent="0.3">
      <c r="A57" s="116" t="s">
        <v>606</v>
      </c>
      <c r="B57" s="116" t="s">
        <v>611</v>
      </c>
      <c r="C57" s="115" t="s">
        <v>610</v>
      </c>
      <c r="D57" s="114">
        <v>236404.79999999434</v>
      </c>
      <c r="E57" s="114">
        <v>251542.58</v>
      </c>
      <c r="F57" s="114">
        <v>298399.45000002324</v>
      </c>
    </row>
    <row r="58" spans="1:6" x14ac:dyDescent="0.3">
      <c r="A58" s="116" t="s">
        <v>606</v>
      </c>
      <c r="B58" s="116" t="s">
        <v>621</v>
      </c>
      <c r="C58" s="115" t="s">
        <v>620</v>
      </c>
      <c r="D58" s="114">
        <v>611815.41000001668</v>
      </c>
      <c r="E58" s="114">
        <v>502143.85</v>
      </c>
      <c r="F58" s="114">
        <v>594435.72999994084</v>
      </c>
    </row>
    <row r="59" spans="1:6" x14ac:dyDescent="0.3">
      <c r="A59" s="113" t="s">
        <v>619</v>
      </c>
      <c r="B59" s="113"/>
      <c r="C59" s="113"/>
      <c r="D59" s="112">
        <v>928250.37000000989</v>
      </c>
      <c r="E59" s="112">
        <v>836017.07</v>
      </c>
      <c r="F59" s="112">
        <v>966892.93999997014</v>
      </c>
    </row>
    <row r="60" spans="1:6" x14ac:dyDescent="0.3">
      <c r="A60" s="116" t="s">
        <v>587</v>
      </c>
      <c r="B60" s="116" t="s">
        <v>613</v>
      </c>
      <c r="C60" s="115" t="s">
        <v>612</v>
      </c>
      <c r="D60" s="114">
        <v>1061.7600000000002</v>
      </c>
      <c r="E60" s="114">
        <v>663.6</v>
      </c>
      <c r="F60" s="114">
        <v>0</v>
      </c>
    </row>
    <row r="61" spans="1:6" x14ac:dyDescent="0.3">
      <c r="A61" s="113" t="s">
        <v>618</v>
      </c>
      <c r="B61" s="113"/>
      <c r="C61" s="113"/>
      <c r="D61" s="112">
        <v>1061.7600000000002</v>
      </c>
      <c r="E61" s="112">
        <v>663.6</v>
      </c>
      <c r="F61" s="112">
        <v>0</v>
      </c>
    </row>
    <row r="62" spans="1:6" x14ac:dyDescent="0.3">
      <c r="A62" s="116" t="s">
        <v>617</v>
      </c>
      <c r="B62" s="116" t="s">
        <v>613</v>
      </c>
      <c r="C62" s="115" t="s">
        <v>612</v>
      </c>
      <c r="D62" s="114">
        <v>12785.360000000328</v>
      </c>
      <c r="E62" s="114">
        <v>14466.48</v>
      </c>
      <c r="F62" s="114">
        <v>12475.679999998858</v>
      </c>
    </row>
    <row r="63" spans="1:6" x14ac:dyDescent="0.3">
      <c r="A63" s="116" t="s">
        <v>617</v>
      </c>
      <c r="B63" s="116" t="s">
        <v>611</v>
      </c>
      <c r="C63" s="115" t="s">
        <v>610</v>
      </c>
      <c r="D63" s="114">
        <v>21104.98000000001</v>
      </c>
      <c r="E63" s="114">
        <v>32597.94</v>
      </c>
      <c r="F63" s="114">
        <v>21285.680000000008</v>
      </c>
    </row>
    <row r="64" spans="1:6" x14ac:dyDescent="0.3">
      <c r="A64" s="113" t="s">
        <v>616</v>
      </c>
      <c r="B64" s="113"/>
      <c r="C64" s="113"/>
      <c r="D64" s="112">
        <v>33890.340000000331</v>
      </c>
      <c r="E64" s="112">
        <v>47064.42</v>
      </c>
      <c r="F64" s="112">
        <v>33761.359999998866</v>
      </c>
    </row>
    <row r="65" spans="1:6" x14ac:dyDescent="0.3">
      <c r="A65" s="116" t="s">
        <v>593</v>
      </c>
      <c r="B65" s="116" t="s">
        <v>613</v>
      </c>
      <c r="C65" s="115" t="s">
        <v>612</v>
      </c>
      <c r="D65" s="114">
        <v>4025.8400000000256</v>
      </c>
      <c r="E65" s="114">
        <v>3539.2</v>
      </c>
      <c r="F65" s="114">
        <v>6105.1199999999662</v>
      </c>
    </row>
    <row r="66" spans="1:6" x14ac:dyDescent="0.3">
      <c r="A66" s="116" t="s">
        <v>593</v>
      </c>
      <c r="B66" s="116" t="s">
        <v>611</v>
      </c>
      <c r="C66" s="115" t="s">
        <v>610</v>
      </c>
      <c r="D66" s="114">
        <v>16588.460000000006</v>
      </c>
      <c r="E66" s="114">
        <v>19674.38</v>
      </c>
      <c r="F66" s="114">
        <v>26406.120000000068</v>
      </c>
    </row>
    <row r="67" spans="1:6" x14ac:dyDescent="0.3">
      <c r="A67" s="113" t="s">
        <v>615</v>
      </c>
      <c r="B67" s="113"/>
      <c r="C67" s="113"/>
      <c r="D67" s="112">
        <v>20614.300000000047</v>
      </c>
      <c r="E67" s="112">
        <v>23213.58</v>
      </c>
      <c r="F67" s="112">
        <v>32511.240000000034</v>
      </c>
    </row>
    <row r="68" spans="1:6" x14ac:dyDescent="0.3">
      <c r="A68" s="116" t="s">
        <v>117</v>
      </c>
      <c r="B68" s="116" t="s">
        <v>613</v>
      </c>
      <c r="C68" s="115" t="s">
        <v>612</v>
      </c>
      <c r="D68" s="114">
        <v>10086.720000000016</v>
      </c>
      <c r="E68" s="114">
        <v>10130.959999999999</v>
      </c>
      <c r="F68" s="114">
        <v>7520.8000000001557</v>
      </c>
    </row>
    <row r="69" spans="1:6" x14ac:dyDescent="0.3">
      <c r="A69" s="116" t="s">
        <v>117</v>
      </c>
      <c r="B69" s="116" t="s">
        <v>611</v>
      </c>
      <c r="C69" s="115" t="s">
        <v>610</v>
      </c>
      <c r="D69" s="114">
        <v>43842.650000000067</v>
      </c>
      <c r="E69" s="114">
        <v>49423.15</v>
      </c>
      <c r="F69" s="114">
        <v>17604.080000000045</v>
      </c>
    </row>
    <row r="70" spans="1:6" x14ac:dyDescent="0.3">
      <c r="A70" s="113" t="s">
        <v>614</v>
      </c>
      <c r="B70" s="113"/>
      <c r="C70" s="113"/>
      <c r="D70" s="112">
        <v>53929.370000000083</v>
      </c>
      <c r="E70" s="112">
        <v>59554.11</v>
      </c>
      <c r="F70" s="112">
        <v>25124.880000000201</v>
      </c>
    </row>
    <row r="71" spans="1:6" x14ac:dyDescent="0.3">
      <c r="A71" s="116" t="s">
        <v>604</v>
      </c>
      <c r="B71" s="116" t="s">
        <v>613</v>
      </c>
      <c r="C71" s="115" t="s">
        <v>612</v>
      </c>
      <c r="D71" s="114">
        <v>1902.3200000000002</v>
      </c>
      <c r="E71" s="114">
        <v>0</v>
      </c>
      <c r="F71" s="114">
        <v>1636.8799999999983</v>
      </c>
    </row>
    <row r="72" spans="1:6" x14ac:dyDescent="0.3">
      <c r="A72" s="116" t="s">
        <v>604</v>
      </c>
      <c r="B72" s="116" t="s">
        <v>611</v>
      </c>
      <c r="C72" s="115" t="s">
        <v>610</v>
      </c>
      <c r="D72" s="114">
        <v>58730.850000000122</v>
      </c>
      <c r="E72" s="114">
        <v>35091.42</v>
      </c>
      <c r="F72" s="114">
        <v>37853.809999999794</v>
      </c>
    </row>
    <row r="73" spans="1:6" x14ac:dyDescent="0.3">
      <c r="A73" s="113" t="s">
        <v>609</v>
      </c>
      <c r="B73" s="113"/>
      <c r="C73" s="113"/>
      <c r="D73" s="112">
        <v>60633.170000000129</v>
      </c>
      <c r="E73" s="112">
        <v>35091.42</v>
      </c>
      <c r="F73" s="112">
        <v>39490.689999999791</v>
      </c>
    </row>
    <row r="74" spans="1:6" s="108" customFormat="1" x14ac:dyDescent="0.3">
      <c r="A74" s="111" t="s">
        <v>586</v>
      </c>
      <c r="B74" s="111"/>
      <c r="C74" s="110"/>
      <c r="D74" s="109">
        <f>D6+D9+D11+D15+D17+D20+D23+D26+D28+D30+D32+D35+D38+D40+D42+D44+D48+D50+D53+D55+D59+D61+D64+D67+D70+D73</f>
        <v>2486340.7799999937</v>
      </c>
      <c r="E74" s="109">
        <f>E6+E9+E11+E15+E17+E20+E23+E26+E28+E30+E32+E35+E38+E40+E42+E44+E48+E50+E53+E55+E59+E61+E64+E67+E70+E73</f>
        <v>2346956.1499999994</v>
      </c>
      <c r="F74" s="109">
        <f>F6+F9+F11+F15+F17+F20+F23+F26+F28+F30+F32+F35+F38+F40+F42+F44+F48+F50+F53+F55+F59+F61+F64+F67+F70+F73</f>
        <v>2264363.1399999838</v>
      </c>
    </row>
    <row r="75" spans="1:6" ht="14.5" thickBot="1" x14ac:dyDescent="0.35"/>
    <row r="76" spans="1:6" ht="14.5" thickBot="1" x14ac:dyDescent="0.35">
      <c r="E76" s="229" t="s">
        <v>918</v>
      </c>
      <c r="F76" s="228">
        <f>ROUNDUP(D74+E74+F74,0)</f>
        <v>7097661</v>
      </c>
    </row>
  </sheetData>
  <autoFilter ref="A3:D74" xr:uid="{BB93D97F-F0F6-48DF-89C6-8BCA8A8A22FC}"/>
  <mergeCells count="1">
    <mergeCell ref="E1:F1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524A-E56D-47BB-A494-EF779364705D}">
  <sheetPr>
    <tabColor rgb="FF00B0F0"/>
  </sheetPr>
  <dimension ref="A1:N43"/>
  <sheetViews>
    <sheetView view="pageBreakPreview" zoomScale="60" zoomScaleNormal="60" workbookViewId="0">
      <selection activeCell="H34" sqref="H34"/>
    </sheetView>
  </sheetViews>
  <sheetFormatPr defaultColWidth="9.1796875" defaultRowHeight="14" x14ac:dyDescent="0.35"/>
  <cols>
    <col min="1" max="1" width="20.7265625" style="4" customWidth="1"/>
    <col min="2" max="2" width="45" style="4" customWidth="1"/>
    <col min="3" max="3" width="19" style="4" customWidth="1"/>
    <col min="4" max="4" width="14.26953125" style="4" customWidth="1"/>
    <col min="5" max="5" width="18.54296875" style="4" customWidth="1"/>
    <col min="6" max="6" width="16.7265625" style="13" customWidth="1"/>
    <col min="7" max="7" width="14.1796875" style="14" customWidth="1"/>
    <col min="8" max="8" width="21" style="4" customWidth="1"/>
    <col min="9" max="10" width="14.26953125" style="4" customWidth="1"/>
    <col min="11" max="11" width="17.1796875" style="4" customWidth="1"/>
    <col min="12" max="12" width="15.7265625" style="4" customWidth="1"/>
    <col min="13" max="13" width="50.26953125" style="4" customWidth="1"/>
    <col min="14" max="14" width="19.453125" style="4" customWidth="1"/>
    <col min="15" max="16384" width="9.1796875" style="4"/>
  </cols>
  <sheetData>
    <row r="1" spans="1:14" ht="15.5" x14ac:dyDescent="0.35">
      <c r="B1" s="1"/>
      <c r="C1" s="1"/>
      <c r="D1" s="1"/>
      <c r="E1" s="1"/>
      <c r="F1" s="15"/>
      <c r="G1" s="16"/>
      <c r="H1" s="233"/>
      <c r="I1" s="1">
        <f>I32+I33</f>
        <v>1315.74</v>
      </c>
      <c r="J1" s="1"/>
      <c r="K1" s="1"/>
      <c r="L1" s="1"/>
      <c r="M1" s="2"/>
    </row>
    <row r="2" spans="1:14" ht="21.75" customHeight="1" x14ac:dyDescent="0.35">
      <c r="A2" s="592" t="s">
        <v>79</v>
      </c>
      <c r="B2" s="592"/>
      <c r="C2" s="90"/>
      <c r="D2" s="1"/>
      <c r="E2" s="1"/>
      <c r="F2" s="15"/>
      <c r="G2" s="16"/>
      <c r="H2" s="260"/>
      <c r="I2" s="79">
        <f>I12+I16+I23+I24+I25+I31+I34+I38</f>
        <v>79932.09</v>
      </c>
      <c r="J2" s="79">
        <f>Kopsavilkums!E8</f>
        <v>79933</v>
      </c>
      <c r="K2" s="1"/>
      <c r="L2" s="1"/>
      <c r="M2" s="2"/>
    </row>
    <row r="3" spans="1:14" ht="15.5" x14ac:dyDescent="0.35">
      <c r="B3" s="1"/>
      <c r="C3" s="1"/>
      <c r="D3" s="1"/>
      <c r="E3" s="1"/>
      <c r="F3" s="15"/>
      <c r="G3" s="16"/>
      <c r="H3" s="259"/>
      <c r="I3" s="261">
        <f>I11+I14+I17+I20+I21+I22+I29+I37</f>
        <v>49929.440000000002</v>
      </c>
      <c r="J3" s="1"/>
      <c r="K3" s="1"/>
      <c r="L3" s="1"/>
      <c r="M3" s="2"/>
    </row>
    <row r="4" spans="1:14" ht="18.75" customHeight="1" x14ac:dyDescent="0.35">
      <c r="A4" s="594" t="s">
        <v>569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</row>
    <row r="5" spans="1:14" ht="15" x14ac:dyDescent="0.35">
      <c r="A5" s="593" t="s">
        <v>567</v>
      </c>
      <c r="B5" s="593"/>
      <c r="C5" s="593"/>
      <c r="D5" s="593"/>
      <c r="E5" s="593"/>
      <c r="F5" s="587" t="s">
        <v>4</v>
      </c>
      <c r="G5" s="588"/>
      <c r="H5" s="588"/>
      <c r="I5" s="588"/>
      <c r="J5" s="588"/>
      <c r="K5" s="588"/>
      <c r="L5" s="588"/>
      <c r="M5" s="589"/>
    </row>
    <row r="6" spans="1:14" ht="15.75" customHeight="1" x14ac:dyDescent="0.35">
      <c r="A6" s="590" t="s">
        <v>575</v>
      </c>
      <c r="B6" s="590" t="s">
        <v>19</v>
      </c>
      <c r="C6" s="590" t="s">
        <v>574</v>
      </c>
      <c r="D6" s="590" t="s">
        <v>6</v>
      </c>
      <c r="E6" s="590" t="s">
        <v>7</v>
      </c>
      <c r="F6" s="587" t="s">
        <v>568</v>
      </c>
      <c r="G6" s="588"/>
      <c r="H6" s="588"/>
      <c r="I6" s="589"/>
      <c r="J6" s="587" t="s">
        <v>571</v>
      </c>
      <c r="K6" s="588"/>
      <c r="L6" s="589"/>
      <c r="M6" s="590" t="s">
        <v>135</v>
      </c>
    </row>
    <row r="7" spans="1:14" ht="63" customHeight="1" x14ac:dyDescent="0.35">
      <c r="A7" s="591"/>
      <c r="B7" s="591"/>
      <c r="C7" s="591"/>
      <c r="D7" s="591"/>
      <c r="E7" s="591"/>
      <c r="F7" s="17" t="s">
        <v>8</v>
      </c>
      <c r="G7" s="18" t="s">
        <v>9</v>
      </c>
      <c r="H7" s="5" t="s">
        <v>10</v>
      </c>
      <c r="I7" s="5" t="s">
        <v>11</v>
      </c>
      <c r="J7" s="91" t="s">
        <v>659</v>
      </c>
      <c r="K7" s="5" t="s">
        <v>572</v>
      </c>
      <c r="L7" s="5" t="s">
        <v>573</v>
      </c>
      <c r="M7" s="591"/>
    </row>
    <row r="8" spans="1:14" s="21" customFormat="1" ht="15" x14ac:dyDescent="0.35">
      <c r="A8" s="6" t="s">
        <v>12</v>
      </c>
      <c r="B8" s="6"/>
      <c r="C8" s="6"/>
      <c r="D8" s="7" t="s">
        <v>80</v>
      </c>
      <c r="E8" s="19">
        <f>SUM(E10:E38)</f>
        <v>647609.36999999988</v>
      </c>
      <c r="F8" s="7" t="s">
        <v>80</v>
      </c>
      <c r="G8" s="20" t="s">
        <v>80</v>
      </c>
      <c r="H8" s="7" t="s">
        <v>80</v>
      </c>
      <c r="I8" s="19">
        <f>SUM(I10:I38)</f>
        <v>131177.26999999996</v>
      </c>
      <c r="J8" s="19"/>
      <c r="K8" s="19">
        <f>SUM(K10:K38)</f>
        <v>131177.26999999996</v>
      </c>
      <c r="L8" s="19">
        <f>SUM(L10:L38)</f>
        <v>0</v>
      </c>
      <c r="M8" s="7" t="s">
        <v>80</v>
      </c>
    </row>
    <row r="9" spans="1:14" s="24" customFormat="1" ht="31.5" customHeight="1" x14ac:dyDescent="0.35">
      <c r="A9" s="595" t="s">
        <v>81</v>
      </c>
      <c r="B9" s="596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4" ht="15.5" x14ac:dyDescent="0.35">
      <c r="A10" s="29"/>
      <c r="B10" s="123" t="s">
        <v>25</v>
      </c>
      <c r="C10" s="123" t="s">
        <v>669</v>
      </c>
      <c r="D10" s="124">
        <v>1</v>
      </c>
      <c r="E10" s="125">
        <v>19000</v>
      </c>
      <c r="F10" s="123"/>
      <c r="G10" s="126"/>
      <c r="H10" s="127"/>
      <c r="I10" s="128"/>
      <c r="J10" s="129"/>
      <c r="K10" s="129"/>
      <c r="L10" s="130"/>
      <c r="M10" s="131" t="s">
        <v>660</v>
      </c>
      <c r="N10" s="31"/>
    </row>
    <row r="11" spans="1:14" ht="15.5" x14ac:dyDescent="0.35">
      <c r="A11" s="455"/>
      <c r="B11" s="575" t="s">
        <v>82</v>
      </c>
      <c r="C11" s="575" t="s">
        <v>669</v>
      </c>
      <c r="D11" s="576">
        <v>1</v>
      </c>
      <c r="E11" s="577">
        <v>25992.01</v>
      </c>
      <c r="F11" s="540"/>
      <c r="G11" s="542"/>
      <c r="H11" s="540"/>
      <c r="I11" s="543"/>
      <c r="J11" s="544"/>
      <c r="K11" s="544"/>
      <c r="L11" s="545"/>
      <c r="M11" s="547"/>
    </row>
    <row r="12" spans="1:14" ht="31" x14ac:dyDescent="0.35">
      <c r="A12" s="238" t="s">
        <v>667</v>
      </c>
      <c r="B12" s="238" t="s">
        <v>83</v>
      </c>
      <c r="C12" s="238" t="s">
        <v>669</v>
      </c>
      <c r="D12" s="239">
        <v>8</v>
      </c>
      <c r="E12" s="240">
        <v>179813.12</v>
      </c>
      <c r="F12" s="238" t="s">
        <v>449</v>
      </c>
      <c r="G12" s="238" t="s">
        <v>450</v>
      </c>
      <c r="H12" s="238" t="s">
        <v>451</v>
      </c>
      <c r="I12" s="240">
        <v>27055.599999999999</v>
      </c>
      <c r="J12" s="241" t="s">
        <v>452</v>
      </c>
      <c r="K12" s="241">
        <v>27055.599999999999</v>
      </c>
      <c r="L12" s="240"/>
      <c r="M12" s="268" t="s">
        <v>1053</v>
      </c>
    </row>
    <row r="13" spans="1:14" ht="15.5" x14ac:dyDescent="0.35">
      <c r="A13" s="29"/>
      <c r="B13" s="123" t="s">
        <v>29</v>
      </c>
      <c r="C13" s="123" t="s">
        <v>669</v>
      </c>
      <c r="D13" s="124">
        <v>1</v>
      </c>
      <c r="E13" s="125">
        <v>5677.26</v>
      </c>
      <c r="F13" s="123"/>
      <c r="G13" s="132"/>
      <c r="H13" s="123"/>
      <c r="I13" s="134"/>
      <c r="J13" s="133"/>
      <c r="K13" s="133"/>
      <c r="L13" s="134"/>
      <c r="M13" s="131"/>
    </row>
    <row r="14" spans="1:14" ht="15.5" x14ac:dyDescent="0.35">
      <c r="A14" s="249"/>
      <c r="B14" s="250" t="s">
        <v>84</v>
      </c>
      <c r="C14" s="250" t="s">
        <v>669</v>
      </c>
      <c r="D14" s="251">
        <v>8</v>
      </c>
      <c r="E14" s="252">
        <v>25008.400000000001</v>
      </c>
      <c r="F14" s="533"/>
      <c r="G14" s="537"/>
      <c r="H14" s="533"/>
      <c r="I14" s="538"/>
      <c r="J14" s="539"/>
      <c r="K14" s="539"/>
      <c r="L14" s="538"/>
      <c r="M14" s="536"/>
    </row>
    <row r="15" spans="1:14" ht="15.5" x14ac:dyDescent="0.35">
      <c r="A15" s="29"/>
      <c r="B15" s="123" t="s">
        <v>33</v>
      </c>
      <c r="C15" s="123" t="s">
        <v>669</v>
      </c>
      <c r="D15" s="124">
        <v>8</v>
      </c>
      <c r="E15" s="125">
        <v>11940.16</v>
      </c>
      <c r="F15" s="123"/>
      <c r="G15" s="132"/>
      <c r="H15" s="123"/>
      <c r="I15" s="134"/>
      <c r="J15" s="133"/>
      <c r="K15" s="133"/>
      <c r="L15" s="134"/>
      <c r="M15" s="131"/>
    </row>
    <row r="16" spans="1:14" ht="54" customHeight="1" x14ac:dyDescent="0.35">
      <c r="A16" s="238" t="s">
        <v>665</v>
      </c>
      <c r="B16" s="238" t="s">
        <v>85</v>
      </c>
      <c r="C16" s="238" t="s">
        <v>669</v>
      </c>
      <c r="D16" s="239">
        <v>8</v>
      </c>
      <c r="E16" s="240">
        <v>56000</v>
      </c>
      <c r="F16" s="238" t="s">
        <v>453</v>
      </c>
      <c r="G16" s="243" t="s">
        <v>454</v>
      </c>
      <c r="H16" s="238" t="s">
        <v>124</v>
      </c>
      <c r="I16" s="241">
        <v>30201.599999999999</v>
      </c>
      <c r="J16" s="241" t="s">
        <v>455</v>
      </c>
      <c r="K16" s="241">
        <v>30201.599999999999</v>
      </c>
      <c r="L16" s="241"/>
      <c r="M16" s="268" t="s">
        <v>1053</v>
      </c>
    </row>
    <row r="17" spans="1:13" ht="15.75" customHeight="1" x14ac:dyDescent="0.35">
      <c r="A17" s="249" t="s">
        <v>797</v>
      </c>
      <c r="B17" s="250" t="s">
        <v>86</v>
      </c>
      <c r="C17" s="250" t="s">
        <v>669</v>
      </c>
      <c r="D17" s="251">
        <v>24</v>
      </c>
      <c r="E17" s="252">
        <v>27120</v>
      </c>
      <c r="F17" s="611" t="s">
        <v>928</v>
      </c>
      <c r="G17" s="619" t="s">
        <v>927</v>
      </c>
      <c r="H17" s="620" t="s">
        <v>923</v>
      </c>
      <c r="I17" s="612">
        <v>44315.040000000001</v>
      </c>
      <c r="J17" s="611" t="s">
        <v>926</v>
      </c>
      <c r="K17" s="611">
        <v>44315.040000000001</v>
      </c>
      <c r="L17" s="612"/>
      <c r="M17" s="597"/>
    </row>
    <row r="18" spans="1:13" ht="15.5" x14ac:dyDescent="0.35">
      <c r="A18" s="249" t="s">
        <v>755</v>
      </c>
      <c r="B18" s="250" t="s">
        <v>87</v>
      </c>
      <c r="C18" s="250" t="s">
        <v>669</v>
      </c>
      <c r="D18" s="251">
        <v>8</v>
      </c>
      <c r="E18" s="252">
        <v>8800</v>
      </c>
      <c r="F18" s="611"/>
      <c r="G18" s="619"/>
      <c r="H18" s="620"/>
      <c r="I18" s="612"/>
      <c r="J18" s="611"/>
      <c r="K18" s="611"/>
      <c r="L18" s="612"/>
      <c r="M18" s="598"/>
    </row>
    <row r="19" spans="1:13" ht="15.75" customHeight="1" x14ac:dyDescent="0.35">
      <c r="A19" s="617" t="s">
        <v>89</v>
      </c>
      <c r="B19" s="597" t="s">
        <v>88</v>
      </c>
      <c r="C19" s="597" t="s">
        <v>669</v>
      </c>
      <c r="D19" s="613">
        <v>8</v>
      </c>
      <c r="E19" s="615">
        <v>6800</v>
      </c>
      <c r="F19" s="611"/>
      <c r="G19" s="619"/>
      <c r="H19" s="620"/>
      <c r="I19" s="612"/>
      <c r="J19" s="611"/>
      <c r="K19" s="611"/>
      <c r="L19" s="612"/>
      <c r="M19" s="598"/>
    </row>
    <row r="20" spans="1:13" ht="15.75" customHeight="1" x14ac:dyDescent="0.35">
      <c r="A20" s="618"/>
      <c r="B20" s="599"/>
      <c r="C20" s="599"/>
      <c r="D20" s="614"/>
      <c r="E20" s="616"/>
      <c r="F20" s="253" t="s">
        <v>925</v>
      </c>
      <c r="G20" s="254" t="s">
        <v>924</v>
      </c>
      <c r="H20" s="255" t="s">
        <v>923</v>
      </c>
      <c r="I20" s="256">
        <v>5614.4</v>
      </c>
      <c r="J20" s="531" t="s">
        <v>922</v>
      </c>
      <c r="K20" s="257">
        <v>5614.4</v>
      </c>
      <c r="L20" s="258"/>
      <c r="M20" s="599"/>
    </row>
    <row r="21" spans="1:13" ht="15.5" x14ac:dyDescent="0.35">
      <c r="A21" s="532"/>
      <c r="B21" s="250" t="s">
        <v>89</v>
      </c>
      <c r="C21" s="250" t="s">
        <v>669</v>
      </c>
      <c r="D21" s="251">
        <v>8</v>
      </c>
      <c r="E21" s="252">
        <v>4800</v>
      </c>
      <c r="F21" s="533"/>
      <c r="G21" s="533"/>
      <c r="H21" s="533"/>
      <c r="I21" s="534"/>
      <c r="J21" s="535"/>
      <c r="K21" s="535"/>
      <c r="L21" s="534"/>
      <c r="M21" s="538"/>
    </row>
    <row r="22" spans="1:13" ht="15.5" x14ac:dyDescent="0.35">
      <c r="A22" s="532"/>
      <c r="B22" s="250" t="s">
        <v>90</v>
      </c>
      <c r="C22" s="250" t="s">
        <v>669</v>
      </c>
      <c r="D22" s="251">
        <v>1</v>
      </c>
      <c r="E22" s="252">
        <v>23000</v>
      </c>
      <c r="F22" s="533"/>
      <c r="G22" s="537"/>
      <c r="H22" s="533"/>
      <c r="I22" s="538"/>
      <c r="J22" s="539"/>
      <c r="K22" s="539"/>
      <c r="L22" s="538"/>
      <c r="M22" s="538"/>
    </row>
    <row r="23" spans="1:13" ht="31" x14ac:dyDescent="0.35">
      <c r="A23" s="238" t="s">
        <v>666</v>
      </c>
      <c r="B23" s="238" t="s">
        <v>91</v>
      </c>
      <c r="C23" s="238" t="s">
        <v>669</v>
      </c>
      <c r="D23" s="239">
        <v>4</v>
      </c>
      <c r="E23" s="240">
        <v>2400</v>
      </c>
      <c r="F23" s="238" t="s">
        <v>456</v>
      </c>
      <c r="G23" s="243" t="s">
        <v>457</v>
      </c>
      <c r="H23" s="238" t="s">
        <v>124</v>
      </c>
      <c r="I23" s="241">
        <v>1839.2</v>
      </c>
      <c r="J23" s="241" t="s">
        <v>458</v>
      </c>
      <c r="K23" s="241">
        <v>1839.2</v>
      </c>
      <c r="L23" s="241"/>
      <c r="M23" s="268" t="s">
        <v>1053</v>
      </c>
    </row>
    <row r="24" spans="1:13" ht="31" x14ac:dyDescent="0.35">
      <c r="A24" s="244" t="s">
        <v>663</v>
      </c>
      <c r="B24" s="600" t="s">
        <v>92</v>
      </c>
      <c r="C24" s="600" t="s">
        <v>669</v>
      </c>
      <c r="D24" s="603">
        <v>4</v>
      </c>
      <c r="E24" s="605">
        <v>1200</v>
      </c>
      <c r="F24" s="238" t="s">
        <v>123</v>
      </c>
      <c r="G24" s="243" t="s">
        <v>74</v>
      </c>
      <c r="H24" s="238" t="s">
        <v>124</v>
      </c>
      <c r="I24" s="241">
        <v>568.70000000000005</v>
      </c>
      <c r="J24" s="245" t="s">
        <v>125</v>
      </c>
      <c r="K24" s="245">
        <v>568.70000000000005</v>
      </c>
      <c r="L24" s="241"/>
      <c r="M24" s="268" t="s">
        <v>1053</v>
      </c>
    </row>
    <row r="25" spans="1:13" ht="31" x14ac:dyDescent="0.35">
      <c r="A25" s="244" t="s">
        <v>663</v>
      </c>
      <c r="B25" s="601"/>
      <c r="C25" s="601"/>
      <c r="D25" s="604"/>
      <c r="E25" s="606"/>
      <c r="F25" s="238" t="s">
        <v>126</v>
      </c>
      <c r="G25" s="238" t="s">
        <v>127</v>
      </c>
      <c r="H25" s="238" t="s">
        <v>124</v>
      </c>
      <c r="I25" s="241">
        <v>568.70000000000005</v>
      </c>
      <c r="J25" s="245" t="s">
        <v>459</v>
      </c>
      <c r="K25" s="245">
        <v>568.70000000000005</v>
      </c>
      <c r="L25" s="241"/>
      <c r="M25" s="268" t="s">
        <v>1053</v>
      </c>
    </row>
    <row r="26" spans="1:13" ht="15.5" x14ac:dyDescent="0.35">
      <c r="A26" s="103"/>
      <c r="B26" s="123" t="s">
        <v>93</v>
      </c>
      <c r="C26" s="123" t="s">
        <v>669</v>
      </c>
      <c r="D26" s="124">
        <v>1</v>
      </c>
      <c r="E26" s="125">
        <v>10000</v>
      </c>
      <c r="F26" s="123"/>
      <c r="G26" s="132"/>
      <c r="H26" s="123"/>
      <c r="I26" s="134"/>
      <c r="J26" s="133"/>
      <c r="K26" s="133"/>
      <c r="L26" s="134"/>
      <c r="M26" s="131"/>
    </row>
    <row r="27" spans="1:13" ht="15.5" x14ac:dyDescent="0.35">
      <c r="A27" s="103"/>
      <c r="B27" s="123" t="s">
        <v>94</v>
      </c>
      <c r="C27" s="123" t="s">
        <v>669</v>
      </c>
      <c r="D27" s="124">
        <v>1</v>
      </c>
      <c r="E27" s="125">
        <v>5000</v>
      </c>
      <c r="F27" s="123"/>
      <c r="G27" s="132"/>
      <c r="H27" s="123"/>
      <c r="I27" s="134"/>
      <c r="J27" s="133"/>
      <c r="K27" s="133"/>
      <c r="L27" s="134"/>
      <c r="M27" s="131"/>
    </row>
    <row r="28" spans="1:13" s="24" customFormat="1" ht="15.5" x14ac:dyDescent="0.35">
      <c r="A28" s="271"/>
      <c r="B28" s="607" t="s">
        <v>95</v>
      </c>
      <c r="C28" s="608"/>
      <c r="D28" s="608"/>
      <c r="E28" s="272"/>
      <c r="F28" s="272"/>
      <c r="G28" s="272"/>
      <c r="H28" s="272"/>
      <c r="I28" s="272"/>
      <c r="J28" s="272"/>
      <c r="K28" s="272"/>
      <c r="L28" s="272"/>
      <c r="M28" s="273"/>
    </row>
    <row r="29" spans="1:13" ht="15.5" x14ac:dyDescent="0.35">
      <c r="A29" s="249"/>
      <c r="B29" s="250" t="s">
        <v>96</v>
      </c>
      <c r="C29" s="250" t="s">
        <v>670</v>
      </c>
      <c r="D29" s="251">
        <v>2</v>
      </c>
      <c r="E29" s="252">
        <v>3600</v>
      </c>
      <c r="F29" s="533"/>
      <c r="G29" s="537"/>
      <c r="H29" s="533"/>
      <c r="I29" s="538"/>
      <c r="J29" s="539"/>
      <c r="K29" s="539"/>
      <c r="L29" s="538"/>
      <c r="M29" s="538"/>
    </row>
    <row r="30" spans="1:13" ht="31" x14ac:dyDescent="0.35">
      <c r="A30" s="103"/>
      <c r="B30" s="123" t="s">
        <v>97</v>
      </c>
      <c r="C30" s="123" t="s">
        <v>670</v>
      </c>
      <c r="D30" s="124">
        <v>1</v>
      </c>
      <c r="E30" s="125">
        <v>25000</v>
      </c>
      <c r="F30" s="123"/>
      <c r="G30" s="132"/>
      <c r="H30" s="123"/>
      <c r="I30" s="134"/>
      <c r="J30" s="133"/>
      <c r="K30" s="133"/>
      <c r="L30" s="134"/>
      <c r="M30" s="131"/>
    </row>
    <row r="31" spans="1:13" ht="46.5" x14ac:dyDescent="0.35">
      <c r="A31" s="246" t="s">
        <v>664</v>
      </c>
      <c r="B31" s="238" t="s">
        <v>98</v>
      </c>
      <c r="C31" s="238" t="s">
        <v>670</v>
      </c>
      <c r="D31" s="239">
        <v>1</v>
      </c>
      <c r="E31" s="240">
        <v>20000</v>
      </c>
      <c r="F31" s="242">
        <v>6721786283</v>
      </c>
      <c r="G31" s="247" t="s">
        <v>460</v>
      </c>
      <c r="H31" s="242" t="s">
        <v>461</v>
      </c>
      <c r="I31" s="241">
        <v>11833.8</v>
      </c>
      <c r="J31" s="245" t="s">
        <v>462</v>
      </c>
      <c r="K31" s="245">
        <v>11833.8</v>
      </c>
      <c r="L31" s="241"/>
      <c r="M31" s="268" t="s">
        <v>1053</v>
      </c>
    </row>
    <row r="32" spans="1:13" ht="46.5" x14ac:dyDescent="0.35">
      <c r="A32" s="244" t="s">
        <v>662</v>
      </c>
      <c r="B32" s="600" t="s">
        <v>99</v>
      </c>
      <c r="C32" s="600" t="s">
        <v>670</v>
      </c>
      <c r="D32" s="603">
        <v>1</v>
      </c>
      <c r="E32" s="605">
        <v>15000</v>
      </c>
      <c r="F32" s="262" t="s">
        <v>100</v>
      </c>
      <c r="G32" s="262" t="s">
        <v>100</v>
      </c>
      <c r="H32" s="262" t="s">
        <v>101</v>
      </c>
      <c r="I32" s="263">
        <v>660.45</v>
      </c>
      <c r="J32" s="263" t="s">
        <v>102</v>
      </c>
      <c r="K32" s="263">
        <v>660.45</v>
      </c>
      <c r="L32" s="263"/>
      <c r="M32" s="269"/>
    </row>
    <row r="33" spans="1:14" ht="46.5" x14ac:dyDescent="0.35">
      <c r="A33" s="244" t="s">
        <v>662</v>
      </c>
      <c r="B33" s="602"/>
      <c r="C33" s="602"/>
      <c r="D33" s="609"/>
      <c r="E33" s="610"/>
      <c r="F33" s="262" t="s">
        <v>103</v>
      </c>
      <c r="G33" s="262" t="s">
        <v>103</v>
      </c>
      <c r="H33" s="262" t="s">
        <v>101</v>
      </c>
      <c r="I33" s="263">
        <v>655.29</v>
      </c>
      <c r="J33" s="263" t="s">
        <v>104</v>
      </c>
      <c r="K33" s="263">
        <v>655.29</v>
      </c>
      <c r="L33" s="263"/>
      <c r="M33" s="270"/>
      <c r="N33" s="31"/>
    </row>
    <row r="34" spans="1:14" ht="46.5" x14ac:dyDescent="0.35">
      <c r="A34" s="248" t="s">
        <v>662</v>
      </c>
      <c r="B34" s="601"/>
      <c r="C34" s="601"/>
      <c r="D34" s="604"/>
      <c r="E34" s="606"/>
      <c r="F34" s="242" t="s">
        <v>920</v>
      </c>
      <c r="G34" s="247">
        <v>409520</v>
      </c>
      <c r="H34" s="242" t="s">
        <v>101</v>
      </c>
      <c r="I34" s="245">
        <v>648.04999999999995</v>
      </c>
      <c r="J34" s="245" t="s">
        <v>128</v>
      </c>
      <c r="K34" s="245">
        <v>648.04999999999995</v>
      </c>
      <c r="L34" s="245"/>
      <c r="M34" s="268" t="s">
        <v>1053</v>
      </c>
    </row>
    <row r="35" spans="1:14" ht="31" x14ac:dyDescent="0.35">
      <c r="A35" s="29"/>
      <c r="B35" s="123" t="s">
        <v>105</v>
      </c>
      <c r="C35" s="123" t="s">
        <v>670</v>
      </c>
      <c r="D35" s="124">
        <v>1</v>
      </c>
      <c r="E35" s="125">
        <v>110000</v>
      </c>
      <c r="F35" s="123"/>
      <c r="G35" s="132"/>
      <c r="H35" s="123"/>
      <c r="I35" s="134"/>
      <c r="J35" s="133"/>
      <c r="K35" s="133"/>
      <c r="L35" s="134"/>
      <c r="M35" s="131"/>
    </row>
    <row r="36" spans="1:14" ht="31" x14ac:dyDescent="0.35">
      <c r="A36" s="29"/>
      <c r="B36" s="123" t="s">
        <v>106</v>
      </c>
      <c r="C36" s="123" t="s">
        <v>670</v>
      </c>
      <c r="D36" s="124">
        <v>1</v>
      </c>
      <c r="E36" s="125">
        <v>45000</v>
      </c>
      <c r="F36" s="123"/>
      <c r="G36" s="123"/>
      <c r="H36" s="123"/>
      <c r="I36" s="130"/>
      <c r="J36" s="129"/>
      <c r="K36" s="129"/>
      <c r="L36" s="130"/>
      <c r="M36" s="131"/>
    </row>
    <row r="37" spans="1:14" ht="56" x14ac:dyDescent="0.35">
      <c r="A37" s="578" t="s">
        <v>1062</v>
      </c>
      <c r="B37" s="250" t="s">
        <v>107</v>
      </c>
      <c r="C37" s="250" t="s">
        <v>670</v>
      </c>
      <c r="D37" s="251">
        <v>6</v>
      </c>
      <c r="E37" s="252">
        <v>9241.98</v>
      </c>
      <c r="F37" s="533"/>
      <c r="G37" s="537"/>
      <c r="H37" s="533"/>
      <c r="I37" s="538"/>
      <c r="J37" s="539"/>
      <c r="K37" s="539"/>
      <c r="L37" s="538"/>
      <c r="M37" s="539"/>
    </row>
    <row r="38" spans="1:14" ht="62" x14ac:dyDescent="0.35">
      <c r="A38" s="238" t="s">
        <v>668</v>
      </c>
      <c r="B38" s="238" t="s">
        <v>108</v>
      </c>
      <c r="C38" s="238" t="s">
        <v>670</v>
      </c>
      <c r="D38" s="239">
        <v>6</v>
      </c>
      <c r="E38" s="240">
        <v>7216.44</v>
      </c>
      <c r="F38" s="238" t="s">
        <v>658</v>
      </c>
      <c r="G38" s="238" t="s">
        <v>488</v>
      </c>
      <c r="H38" s="238" t="s">
        <v>657</v>
      </c>
      <c r="I38" s="245">
        <v>7216.44</v>
      </c>
      <c r="J38" s="245" t="s">
        <v>656</v>
      </c>
      <c r="K38" s="245">
        <v>7216.44</v>
      </c>
      <c r="L38" s="245"/>
      <c r="M38" s="268" t="s">
        <v>1053</v>
      </c>
    </row>
    <row r="39" spans="1:14" ht="15.5" x14ac:dyDescent="0.35">
      <c r="B39" s="1"/>
      <c r="C39" s="1"/>
      <c r="D39" s="1"/>
      <c r="E39" s="1"/>
      <c r="F39" s="15"/>
      <c r="G39" s="16"/>
      <c r="H39" s="1"/>
      <c r="I39" s="1"/>
      <c r="J39" s="1"/>
      <c r="K39" s="1"/>
      <c r="L39" s="1"/>
      <c r="M39" s="1"/>
    </row>
    <row r="40" spans="1:14" ht="39" customHeight="1" x14ac:dyDescent="0.35">
      <c r="A40" s="585" t="s">
        <v>1052</v>
      </c>
      <c r="B40" s="585"/>
      <c r="C40" s="585"/>
      <c r="D40" s="585"/>
      <c r="E40" s="585"/>
      <c r="F40" s="585"/>
      <c r="G40" s="585"/>
      <c r="H40" s="585"/>
      <c r="I40" s="585"/>
      <c r="J40" s="585"/>
      <c r="K40" s="585"/>
      <c r="L40" s="585"/>
      <c r="M40" s="586"/>
    </row>
    <row r="42" spans="1:14" x14ac:dyDescent="0.35">
      <c r="B42" s="47"/>
      <c r="C42" s="47"/>
      <c r="F42" s="4"/>
      <c r="G42" s="4"/>
    </row>
    <row r="43" spans="1:14" x14ac:dyDescent="0.35">
      <c r="F43" s="4"/>
      <c r="G43" s="4"/>
    </row>
  </sheetData>
  <autoFilter ref="A7:N38" xr:uid="{2F09AFD3-FBAC-4B86-BF8B-339573EEB612}"/>
  <mergeCells count="36">
    <mergeCell ref="A19:A20"/>
    <mergeCell ref="F17:F19"/>
    <mergeCell ref="G17:G19"/>
    <mergeCell ref="H17:H19"/>
    <mergeCell ref="I17:I19"/>
    <mergeCell ref="J17:J19"/>
    <mergeCell ref="K17:K19"/>
    <mergeCell ref="L17:L19"/>
    <mergeCell ref="B19:B20"/>
    <mergeCell ref="C19:C20"/>
    <mergeCell ref="D19:D20"/>
    <mergeCell ref="E19:E20"/>
    <mergeCell ref="C32:C34"/>
    <mergeCell ref="C24:C25"/>
    <mergeCell ref="D24:D25"/>
    <mergeCell ref="E24:E25"/>
    <mergeCell ref="B28:D28"/>
    <mergeCell ref="B32:B34"/>
    <mergeCell ref="D32:D34"/>
    <mergeCell ref="E32:E34"/>
    <mergeCell ref="A40:M40"/>
    <mergeCell ref="J6:L6"/>
    <mergeCell ref="A6:A7"/>
    <mergeCell ref="A2:B2"/>
    <mergeCell ref="A5:E5"/>
    <mergeCell ref="C6:C7"/>
    <mergeCell ref="A4:M4"/>
    <mergeCell ref="F5:M5"/>
    <mergeCell ref="B6:B7"/>
    <mergeCell ref="D6:D7"/>
    <mergeCell ref="E6:E7"/>
    <mergeCell ref="F6:I6"/>
    <mergeCell ref="M6:M7"/>
    <mergeCell ref="A9:B9"/>
    <mergeCell ref="M17:M20"/>
    <mergeCell ref="B24:B25"/>
  </mergeCells>
  <pageMargins left="0.7" right="0.7" top="0.75" bottom="0.75" header="0.3" footer="0.3"/>
  <pageSetup paperSize="9" scale="2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035F-F926-43EE-A4BD-323CEAF2D89A}">
  <sheetPr>
    <tabColor rgb="FF00B0F0"/>
  </sheetPr>
  <dimension ref="A1:N31"/>
  <sheetViews>
    <sheetView view="pageBreakPreview" topLeftCell="A12" zoomScale="80" zoomScaleNormal="100" zoomScaleSheetLayoutView="80" workbookViewId="0">
      <selection activeCell="I13" sqref="I13"/>
    </sheetView>
  </sheetViews>
  <sheetFormatPr defaultRowHeight="14.5" x14ac:dyDescent="0.35"/>
  <cols>
    <col min="1" max="1" width="15.81640625" customWidth="1"/>
    <col min="3" max="3" width="11.453125" customWidth="1"/>
    <col min="4" max="4" width="18.1796875" customWidth="1"/>
    <col min="5" max="5" width="11.54296875" customWidth="1"/>
    <col min="6" max="6" width="15.7265625" customWidth="1"/>
    <col min="7" max="7" width="15.453125" customWidth="1"/>
    <col min="8" max="8" width="14.54296875" customWidth="1"/>
    <col min="9" max="9" width="22.453125" customWidth="1"/>
    <col min="10" max="10" width="14.453125" customWidth="1"/>
    <col min="11" max="11" width="23.54296875" customWidth="1"/>
    <col min="12" max="12" width="13" customWidth="1"/>
    <col min="13" max="13" width="15.54296875" customWidth="1"/>
    <col min="14" max="14" width="27.7265625" customWidth="1"/>
  </cols>
  <sheetData>
    <row r="1" spans="1:14" ht="15.5" x14ac:dyDescent="0.3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17.5" x14ac:dyDescent="0.35">
      <c r="A2" s="66" t="s">
        <v>570</v>
      </c>
      <c r="B2" s="66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4" ht="15.5" x14ac:dyDescent="0.3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</row>
    <row r="4" spans="1:14" ht="17.5" x14ac:dyDescent="0.35">
      <c r="B4" s="628" t="s">
        <v>582</v>
      </c>
      <c r="C4" s="628"/>
      <c r="D4" s="628"/>
      <c r="E4" s="628"/>
      <c r="F4" s="628"/>
      <c r="G4" s="629"/>
      <c r="H4" s="629"/>
      <c r="I4" s="629"/>
      <c r="J4" s="629"/>
      <c r="K4" s="629"/>
      <c r="L4" s="629"/>
      <c r="M4" s="629"/>
      <c r="N4" s="629"/>
    </row>
    <row r="5" spans="1:14" ht="15.75" customHeight="1" x14ac:dyDescent="0.35">
      <c r="A5" s="593" t="s">
        <v>567</v>
      </c>
      <c r="B5" s="593"/>
      <c r="C5" s="593"/>
      <c r="D5" s="593"/>
      <c r="E5" s="593"/>
      <c r="F5" s="593"/>
      <c r="G5" s="630" t="s">
        <v>4</v>
      </c>
      <c r="H5" s="631"/>
      <c r="I5" s="631"/>
      <c r="J5" s="631"/>
      <c r="K5" s="631"/>
      <c r="L5" s="631"/>
      <c r="M5" s="631"/>
      <c r="N5" s="632"/>
    </row>
    <row r="6" spans="1:14" ht="32.25" customHeight="1" x14ac:dyDescent="0.35">
      <c r="A6" s="590" t="s">
        <v>575</v>
      </c>
      <c r="B6" s="643" t="s">
        <v>5</v>
      </c>
      <c r="C6" s="633" t="s">
        <v>133</v>
      </c>
      <c r="D6" s="590" t="s">
        <v>574</v>
      </c>
      <c r="E6" s="643" t="s">
        <v>6</v>
      </c>
      <c r="F6" s="633" t="s">
        <v>7</v>
      </c>
      <c r="G6" s="635" t="s">
        <v>568</v>
      </c>
      <c r="H6" s="636"/>
      <c r="I6" s="636"/>
      <c r="J6" s="637"/>
      <c r="K6" s="635" t="s">
        <v>571</v>
      </c>
      <c r="L6" s="636"/>
      <c r="M6" s="637"/>
      <c r="N6" s="633" t="s">
        <v>135</v>
      </c>
    </row>
    <row r="7" spans="1:14" ht="28" x14ac:dyDescent="0.35">
      <c r="A7" s="591"/>
      <c r="B7" s="644"/>
      <c r="C7" s="634"/>
      <c r="D7" s="591"/>
      <c r="E7" s="644"/>
      <c r="F7" s="634"/>
      <c r="G7" s="67" t="s">
        <v>8</v>
      </c>
      <c r="H7" s="68" t="s">
        <v>9</v>
      </c>
      <c r="I7" s="67" t="s">
        <v>10</v>
      </c>
      <c r="J7" s="67" t="s">
        <v>11</v>
      </c>
      <c r="K7" s="67" t="s">
        <v>1059</v>
      </c>
      <c r="L7" s="68" t="s">
        <v>583</v>
      </c>
      <c r="M7" s="68" t="s">
        <v>573</v>
      </c>
      <c r="N7" s="634"/>
    </row>
    <row r="8" spans="1:14" ht="15" x14ac:dyDescent="0.35">
      <c r="A8" s="70"/>
      <c r="B8" s="69" t="s">
        <v>12</v>
      </c>
      <c r="C8" s="70" t="s">
        <v>80</v>
      </c>
      <c r="D8" s="70"/>
      <c r="E8" s="70"/>
      <c r="F8" s="70"/>
      <c r="G8" s="70" t="s">
        <v>80</v>
      </c>
      <c r="H8" s="70" t="s">
        <v>80</v>
      </c>
      <c r="I8" s="70" t="s">
        <v>80</v>
      </c>
      <c r="J8" s="135">
        <f>J10+J11+J13+J14+J15+J16+J17+J18+J19+J24+J25+J26+J27</f>
        <v>768943.79</v>
      </c>
      <c r="K8" s="135"/>
      <c r="L8" s="135">
        <f>L11+L13+L14+L15+L16+L17+L18+L19+L24+L25+L26+L27</f>
        <v>763781.93</v>
      </c>
      <c r="M8" s="135">
        <f>M10+M11+M13+M14+M15+M16+M17+M18+M19+M24+M25+M26+M27</f>
        <v>0</v>
      </c>
      <c r="N8" s="70" t="s">
        <v>80</v>
      </c>
    </row>
    <row r="9" spans="1:14" ht="17.5" x14ac:dyDescent="0.35">
      <c r="B9" s="71" t="s">
        <v>537</v>
      </c>
    </row>
    <row r="10" spans="1:14" ht="42" x14ac:dyDescent="0.35">
      <c r="A10" s="550" t="s">
        <v>1064</v>
      </c>
      <c r="B10" s="639" t="s">
        <v>538</v>
      </c>
      <c r="C10" s="640"/>
      <c r="D10" s="275" t="s">
        <v>671</v>
      </c>
      <c r="E10" s="276"/>
      <c r="F10" s="641">
        <v>41000</v>
      </c>
      <c r="G10" s="274"/>
      <c r="H10" s="274"/>
      <c r="I10" s="274"/>
      <c r="J10" s="277">
        <v>5161.8599999999997</v>
      </c>
      <c r="K10" s="277"/>
      <c r="L10" s="274"/>
      <c r="M10" s="278"/>
      <c r="N10" s="268" t="s">
        <v>1053</v>
      </c>
    </row>
    <row r="11" spans="1:14" ht="81.75" customHeight="1" x14ac:dyDescent="0.35">
      <c r="A11" s="548" t="s">
        <v>1063</v>
      </c>
      <c r="B11" s="624" t="s">
        <v>538</v>
      </c>
      <c r="C11" s="625"/>
      <c r="D11" s="280" t="s">
        <v>671</v>
      </c>
      <c r="E11" s="281"/>
      <c r="F11" s="642"/>
      <c r="G11" s="279"/>
      <c r="H11" s="279"/>
      <c r="I11" s="279"/>
      <c r="J11" s="282">
        <v>110352</v>
      </c>
      <c r="K11" s="282"/>
      <c r="L11" s="282">
        <v>110352</v>
      </c>
      <c r="M11" s="279"/>
      <c r="N11" s="284" t="s">
        <v>1061</v>
      </c>
    </row>
    <row r="12" spans="1:14" ht="54" customHeight="1" x14ac:dyDescent="0.35">
      <c r="A12" s="279"/>
      <c r="B12" s="624" t="s">
        <v>539</v>
      </c>
      <c r="C12" s="625"/>
      <c r="D12" s="280" t="s">
        <v>671</v>
      </c>
      <c r="E12" s="279"/>
      <c r="F12" s="523">
        <v>2500000</v>
      </c>
      <c r="G12" s="279"/>
      <c r="H12" s="279"/>
      <c r="I12" s="279"/>
      <c r="J12" s="279"/>
      <c r="K12" s="279"/>
      <c r="L12" s="279"/>
      <c r="M12" s="279"/>
      <c r="N12" s="279"/>
    </row>
    <row r="13" spans="1:14" ht="29.25" customHeight="1" x14ac:dyDescent="0.35">
      <c r="A13" s="279"/>
      <c r="B13" s="624" t="s">
        <v>539</v>
      </c>
      <c r="C13" s="625"/>
      <c r="D13" s="280" t="s">
        <v>671</v>
      </c>
      <c r="E13" s="281"/>
      <c r="F13" s="282"/>
      <c r="G13" s="521">
        <v>210249</v>
      </c>
      <c r="H13" s="526">
        <v>44421</v>
      </c>
      <c r="I13" s="282" t="s">
        <v>933</v>
      </c>
      <c r="J13" s="282">
        <v>182508.91</v>
      </c>
      <c r="K13" s="282" t="s">
        <v>937</v>
      </c>
      <c r="L13" s="282">
        <f>J13</f>
        <v>182508.91</v>
      </c>
      <c r="M13" s="282"/>
      <c r="N13" s="520" t="s">
        <v>935</v>
      </c>
    </row>
    <row r="14" spans="1:14" ht="30" customHeight="1" x14ac:dyDescent="0.35">
      <c r="A14" s="279"/>
      <c r="B14" s="624" t="s">
        <v>539</v>
      </c>
      <c r="C14" s="625"/>
      <c r="D14" s="280" t="s">
        <v>671</v>
      </c>
      <c r="E14" s="281"/>
      <c r="F14" s="282"/>
      <c r="G14" s="521">
        <v>210249</v>
      </c>
      <c r="H14" s="526">
        <v>44421</v>
      </c>
      <c r="I14" s="282" t="s">
        <v>933</v>
      </c>
      <c r="J14" s="282">
        <v>38326.870000000003</v>
      </c>
      <c r="K14" s="282" t="s">
        <v>937</v>
      </c>
      <c r="L14" s="282">
        <f t="shared" ref="L14:L19" si="0">J14</f>
        <v>38326.870000000003</v>
      </c>
      <c r="M14" s="282"/>
      <c r="N14" s="520" t="s">
        <v>931</v>
      </c>
    </row>
    <row r="15" spans="1:14" ht="29.25" customHeight="1" x14ac:dyDescent="0.35">
      <c r="A15" s="279"/>
      <c r="B15" s="624" t="s">
        <v>539</v>
      </c>
      <c r="C15" s="625"/>
      <c r="D15" s="280" t="s">
        <v>671</v>
      </c>
      <c r="E15" s="281"/>
      <c r="F15" s="282"/>
      <c r="G15" s="521" t="s">
        <v>940</v>
      </c>
      <c r="H15" s="526">
        <v>44419</v>
      </c>
      <c r="I15" s="282" t="s">
        <v>939</v>
      </c>
      <c r="J15" s="282">
        <v>240.48</v>
      </c>
      <c r="K15" s="549">
        <v>44424</v>
      </c>
      <c r="L15" s="282">
        <f t="shared" si="0"/>
        <v>240.48</v>
      </c>
      <c r="M15" s="282"/>
      <c r="N15" s="520" t="s">
        <v>938</v>
      </c>
    </row>
    <row r="16" spans="1:14" ht="34.5" customHeight="1" x14ac:dyDescent="0.35">
      <c r="A16" s="279"/>
      <c r="B16" s="624" t="s">
        <v>539</v>
      </c>
      <c r="C16" s="625"/>
      <c r="D16" s="280" t="s">
        <v>671</v>
      </c>
      <c r="E16" s="281"/>
      <c r="F16" s="282"/>
      <c r="G16" s="521">
        <v>210291</v>
      </c>
      <c r="H16" s="526">
        <v>44446</v>
      </c>
      <c r="I16" s="282" t="s">
        <v>933</v>
      </c>
      <c r="J16" s="282">
        <v>328255</v>
      </c>
      <c r="K16" s="282" t="s">
        <v>936</v>
      </c>
      <c r="L16" s="282">
        <f t="shared" si="0"/>
        <v>328255</v>
      </c>
      <c r="M16" s="282"/>
      <c r="N16" s="520" t="s">
        <v>935</v>
      </c>
    </row>
    <row r="17" spans="1:14" ht="39" customHeight="1" x14ac:dyDescent="0.35">
      <c r="A17" s="279"/>
      <c r="B17" s="624" t="s">
        <v>539</v>
      </c>
      <c r="C17" s="625"/>
      <c r="D17" s="280" t="s">
        <v>671</v>
      </c>
      <c r="E17" s="281"/>
      <c r="F17" s="282"/>
      <c r="G17" s="521">
        <v>210291</v>
      </c>
      <c r="H17" s="526">
        <v>44446</v>
      </c>
      <c r="I17" s="282" t="s">
        <v>933</v>
      </c>
      <c r="J17" s="282">
        <v>68933.55</v>
      </c>
      <c r="K17" s="282" t="s">
        <v>932</v>
      </c>
      <c r="L17" s="282">
        <f t="shared" si="0"/>
        <v>68933.55</v>
      </c>
      <c r="M17" s="282"/>
      <c r="N17" s="520" t="s">
        <v>931</v>
      </c>
    </row>
    <row r="18" spans="1:14" ht="42" customHeight="1" x14ac:dyDescent="0.35">
      <c r="A18" s="279"/>
      <c r="B18" s="624" t="s">
        <v>539</v>
      </c>
      <c r="C18" s="625"/>
      <c r="D18" s="280" t="s">
        <v>671</v>
      </c>
      <c r="E18" s="281"/>
      <c r="F18" s="282"/>
      <c r="G18" s="521">
        <v>210296</v>
      </c>
      <c r="H18" s="526">
        <v>44446</v>
      </c>
      <c r="I18" s="282" t="s">
        <v>933</v>
      </c>
      <c r="J18" s="282">
        <v>7466.31</v>
      </c>
      <c r="K18" s="282" t="s">
        <v>936</v>
      </c>
      <c r="L18" s="282">
        <f t="shared" si="0"/>
        <v>7466.31</v>
      </c>
      <c r="M18" s="282"/>
      <c r="N18" s="520" t="s">
        <v>935</v>
      </c>
    </row>
    <row r="19" spans="1:14" ht="42" customHeight="1" x14ac:dyDescent="0.35">
      <c r="A19" s="279"/>
      <c r="B19" s="624" t="s">
        <v>539</v>
      </c>
      <c r="C19" s="625"/>
      <c r="D19" s="280" t="s">
        <v>671</v>
      </c>
      <c r="E19" s="281"/>
      <c r="F19" s="282"/>
      <c r="G19" s="521">
        <v>210296</v>
      </c>
      <c r="H19" s="526">
        <v>44446</v>
      </c>
      <c r="I19" s="282" t="s">
        <v>933</v>
      </c>
      <c r="J19" s="282">
        <v>1567.93</v>
      </c>
      <c r="K19" s="282" t="s">
        <v>932</v>
      </c>
      <c r="L19" s="282">
        <f t="shared" si="0"/>
        <v>1567.93</v>
      </c>
      <c r="M19" s="282"/>
      <c r="N19" s="520" t="s">
        <v>931</v>
      </c>
    </row>
    <row r="20" spans="1:14" ht="46.5" customHeight="1" x14ac:dyDescent="0.35">
      <c r="A20" s="525"/>
      <c r="B20" s="621" t="s">
        <v>1060</v>
      </c>
      <c r="C20" s="622"/>
      <c r="D20" s="621"/>
      <c r="E20" s="622"/>
      <c r="F20" s="524">
        <f>SUM(F10:F12)</f>
        <v>2541000</v>
      </c>
      <c r="G20" s="510"/>
      <c r="H20" s="621"/>
      <c r="I20" s="622"/>
      <c r="J20" s="621"/>
      <c r="K20" s="623"/>
      <c r="L20" s="622"/>
      <c r="M20" s="621"/>
      <c r="N20" s="622"/>
    </row>
    <row r="21" spans="1:14" ht="17.5" x14ac:dyDescent="0.35">
      <c r="B21" s="638" t="s">
        <v>540</v>
      </c>
      <c r="C21" s="638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</row>
    <row r="22" spans="1:14" ht="30" x14ac:dyDescent="0.35">
      <c r="A22" s="28"/>
      <c r="B22" s="626" t="s">
        <v>541</v>
      </c>
      <c r="C22" s="627"/>
      <c r="D22" s="89"/>
      <c r="E22" s="72" t="s">
        <v>542</v>
      </c>
      <c r="F22" s="60" t="s">
        <v>543</v>
      </c>
      <c r="G22" s="60"/>
      <c r="H22" s="28"/>
      <c r="I22" s="28"/>
      <c r="J22" s="28"/>
      <c r="K22" s="28"/>
      <c r="L22" s="28"/>
      <c r="M22" s="28"/>
      <c r="N22" s="28"/>
    </row>
    <row r="23" spans="1:14" ht="15.5" x14ac:dyDescent="0.35">
      <c r="A23" s="28"/>
      <c r="B23" s="626" t="s">
        <v>544</v>
      </c>
      <c r="C23" s="627"/>
      <c r="D23" s="88" t="s">
        <v>672</v>
      </c>
      <c r="E23" s="51">
        <v>214</v>
      </c>
      <c r="F23" s="73">
        <v>321000</v>
      </c>
      <c r="G23" s="73"/>
      <c r="H23" s="28"/>
      <c r="I23" s="28"/>
      <c r="J23" s="73">
        <f>J24+J25+J26+J27</f>
        <v>26130.880000000001</v>
      </c>
      <c r="K23" s="28"/>
      <c r="L23" s="73">
        <f>L24+L25+L26+L27</f>
        <v>26130.880000000001</v>
      </c>
      <c r="M23" s="28"/>
      <c r="N23" s="28"/>
    </row>
    <row r="24" spans="1:14" ht="48.75" customHeight="1" x14ac:dyDescent="0.35">
      <c r="A24" s="279"/>
      <c r="B24" s="624" t="s">
        <v>934</v>
      </c>
      <c r="C24" s="625"/>
      <c r="D24" s="522"/>
      <c r="E24" s="290"/>
      <c r="F24" s="523"/>
      <c r="G24" s="521">
        <v>210248</v>
      </c>
      <c r="H24" s="521">
        <v>44421</v>
      </c>
      <c r="I24" s="521" t="s">
        <v>933</v>
      </c>
      <c r="J24" s="521">
        <v>1950.19</v>
      </c>
      <c r="K24" s="521" t="s">
        <v>937</v>
      </c>
      <c r="L24" s="521">
        <f>J24</f>
        <v>1950.19</v>
      </c>
      <c r="N24" s="520" t="s">
        <v>935</v>
      </c>
    </row>
    <row r="25" spans="1:14" ht="59.25" customHeight="1" x14ac:dyDescent="0.35">
      <c r="A25" s="279"/>
      <c r="B25" s="624" t="s">
        <v>934</v>
      </c>
      <c r="C25" s="625"/>
      <c r="D25" s="522"/>
      <c r="E25" s="290"/>
      <c r="F25" s="523"/>
      <c r="G25" s="521">
        <v>210248</v>
      </c>
      <c r="H25" s="521">
        <v>44421</v>
      </c>
      <c r="I25" s="521" t="s">
        <v>933</v>
      </c>
      <c r="J25" s="521">
        <v>409.54</v>
      </c>
      <c r="K25" s="521" t="s">
        <v>937</v>
      </c>
      <c r="L25" s="521">
        <f>J25</f>
        <v>409.54</v>
      </c>
      <c r="N25" s="520" t="s">
        <v>931</v>
      </c>
    </row>
    <row r="26" spans="1:14" ht="57" customHeight="1" x14ac:dyDescent="0.35">
      <c r="A26" s="279"/>
      <c r="B26" s="624" t="s">
        <v>934</v>
      </c>
      <c r="C26" s="625"/>
      <c r="D26" s="522"/>
      <c r="E26" s="290"/>
      <c r="F26" s="523"/>
      <c r="G26" s="521">
        <v>210295</v>
      </c>
      <c r="H26" s="521">
        <v>44446</v>
      </c>
      <c r="I26" s="521" t="s">
        <v>933</v>
      </c>
      <c r="J26" s="521">
        <v>19645.580000000002</v>
      </c>
      <c r="K26" s="521" t="s">
        <v>936</v>
      </c>
      <c r="L26" s="521">
        <f>J26</f>
        <v>19645.580000000002</v>
      </c>
      <c r="N26" s="520" t="s">
        <v>935</v>
      </c>
    </row>
    <row r="27" spans="1:14" ht="49.5" customHeight="1" x14ac:dyDescent="0.35">
      <c r="A27" s="279"/>
      <c r="B27" s="624" t="s">
        <v>934</v>
      </c>
      <c r="C27" s="625"/>
      <c r="D27" s="522"/>
      <c r="E27" s="290"/>
      <c r="F27" s="523"/>
      <c r="G27" s="521">
        <v>210295</v>
      </c>
      <c r="H27" s="521">
        <v>44446</v>
      </c>
      <c r="I27" s="521" t="s">
        <v>933</v>
      </c>
      <c r="J27" s="521">
        <v>4125.57</v>
      </c>
      <c r="K27" s="521" t="s">
        <v>932</v>
      </c>
      <c r="L27" s="521">
        <f>J27</f>
        <v>4125.57</v>
      </c>
      <c r="N27" s="520" t="s">
        <v>931</v>
      </c>
    </row>
    <row r="28" spans="1:14" ht="15.5" x14ac:dyDescent="0.35">
      <c r="A28" s="28"/>
      <c r="B28" s="626" t="s">
        <v>545</v>
      </c>
      <c r="C28" s="627"/>
      <c r="D28" s="92" t="s">
        <v>672</v>
      </c>
      <c r="E28" s="51">
        <v>50</v>
      </c>
      <c r="F28" s="73">
        <v>25000</v>
      </c>
      <c r="G28" s="73"/>
      <c r="H28" s="28"/>
      <c r="I28" s="28"/>
      <c r="J28" s="72"/>
      <c r="K28" s="266"/>
      <c r="L28" s="72"/>
      <c r="M28" s="60"/>
      <c r="N28" s="60"/>
    </row>
    <row r="29" spans="1:14" ht="15.5" x14ac:dyDescent="0.35">
      <c r="A29" s="28"/>
      <c r="B29" s="626" t="s">
        <v>546</v>
      </c>
      <c r="C29" s="627"/>
      <c r="D29" s="92" t="s">
        <v>672</v>
      </c>
      <c r="E29" s="51">
        <v>1</v>
      </c>
      <c r="F29" s="73">
        <v>3500</v>
      </c>
      <c r="G29" s="73"/>
      <c r="H29" s="28"/>
      <c r="I29" s="28"/>
      <c r="J29" s="28"/>
      <c r="K29" s="28"/>
      <c r="L29" s="28"/>
      <c r="M29" s="28"/>
      <c r="N29" s="28"/>
    </row>
    <row r="30" spans="1:14" ht="15.5" x14ac:dyDescent="0.35">
      <c r="A30" s="28"/>
      <c r="B30" s="626" t="s">
        <v>547</v>
      </c>
      <c r="C30" s="627"/>
      <c r="D30" s="92" t="s">
        <v>672</v>
      </c>
      <c r="E30" s="51">
        <v>1</v>
      </c>
      <c r="F30" s="73">
        <v>10000</v>
      </c>
      <c r="G30" s="73"/>
      <c r="H30" s="28"/>
      <c r="I30" s="28"/>
      <c r="J30" s="28"/>
      <c r="K30" s="28"/>
      <c r="L30" s="28"/>
      <c r="M30" s="28"/>
      <c r="N30" s="28"/>
    </row>
    <row r="31" spans="1:14" ht="15.5" x14ac:dyDescent="0.35">
      <c r="A31" s="28"/>
      <c r="B31" s="89"/>
      <c r="C31" s="51"/>
      <c r="D31" s="51"/>
      <c r="E31" s="51"/>
      <c r="F31" s="94">
        <f>SUM(F23:F30)</f>
        <v>359500</v>
      </c>
      <c r="G31" s="94"/>
      <c r="H31" s="28"/>
      <c r="I31" s="28"/>
      <c r="J31" s="28"/>
      <c r="K31" s="28"/>
      <c r="L31" s="28"/>
      <c r="M31" s="28"/>
      <c r="N31" s="28"/>
    </row>
  </sheetData>
  <mergeCells count="38">
    <mergeCell ref="B24:C24"/>
    <mergeCell ref="B25:C25"/>
    <mergeCell ref="B26:C26"/>
    <mergeCell ref="B27:C27"/>
    <mergeCell ref="A6:A7"/>
    <mergeCell ref="B13:C13"/>
    <mergeCell ref="B14:C14"/>
    <mergeCell ref="B16:C16"/>
    <mergeCell ref="B15:C15"/>
    <mergeCell ref="B18:C18"/>
    <mergeCell ref="B17:C17"/>
    <mergeCell ref="B20:C20"/>
    <mergeCell ref="A5:F5"/>
    <mergeCell ref="B6:B7"/>
    <mergeCell ref="C6:C7"/>
    <mergeCell ref="E6:E7"/>
    <mergeCell ref="D6:D7"/>
    <mergeCell ref="B30:C30"/>
    <mergeCell ref="B4:N4"/>
    <mergeCell ref="G5:N5"/>
    <mergeCell ref="F6:F7"/>
    <mergeCell ref="G6:J6"/>
    <mergeCell ref="N6:N7"/>
    <mergeCell ref="B21:N21"/>
    <mergeCell ref="B22:C22"/>
    <mergeCell ref="B23:C23"/>
    <mergeCell ref="B28:C28"/>
    <mergeCell ref="B29:C29"/>
    <mergeCell ref="B10:C10"/>
    <mergeCell ref="B12:C12"/>
    <mergeCell ref="B11:C11"/>
    <mergeCell ref="K6:M6"/>
    <mergeCell ref="F10:F11"/>
    <mergeCell ref="D20:E20"/>
    <mergeCell ref="H20:I20"/>
    <mergeCell ref="J20:L20"/>
    <mergeCell ref="M20:N20"/>
    <mergeCell ref="B19:C19"/>
  </mergeCells>
  <pageMargins left="0.7" right="0.7" top="0.75" bottom="0.75" header="0.3" footer="0.3"/>
  <pageSetup paperSize="9" scale="38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92A5-8914-4675-A568-674CF62FCD4D}">
  <sheetPr>
    <tabColor rgb="FF00B0F0"/>
  </sheetPr>
  <dimension ref="A1:M51"/>
  <sheetViews>
    <sheetView view="pageBreakPreview" topLeftCell="A19" zoomScale="60" zoomScaleNormal="80" workbookViewId="0">
      <selection activeCell="C38" sqref="C38"/>
    </sheetView>
  </sheetViews>
  <sheetFormatPr defaultRowHeight="14.5" x14ac:dyDescent="0.35"/>
  <cols>
    <col min="1" max="1" width="17.54296875" customWidth="1"/>
    <col min="2" max="2" width="30.1796875" customWidth="1"/>
    <col min="3" max="3" width="24.453125" customWidth="1"/>
    <col min="5" max="5" width="14.453125" customWidth="1"/>
    <col min="6" max="6" width="13.54296875" customWidth="1"/>
    <col min="7" max="7" width="17.26953125" customWidth="1"/>
    <col min="8" max="8" width="17.1796875" customWidth="1"/>
    <col min="9" max="10" width="15.54296875" customWidth="1"/>
    <col min="11" max="11" width="11.81640625" customWidth="1"/>
    <col min="12" max="12" width="13.1796875" customWidth="1"/>
    <col min="13" max="13" width="24.7265625" customWidth="1"/>
  </cols>
  <sheetData>
    <row r="1" spans="1:13" ht="15.5" x14ac:dyDescent="0.35">
      <c r="B1" s="64"/>
      <c r="C1" s="64"/>
      <c r="D1" s="64"/>
      <c r="E1" s="64"/>
      <c r="F1" s="64"/>
      <c r="G1" s="64"/>
      <c r="H1" s="64"/>
      <c r="I1" s="80"/>
      <c r="J1" s="80"/>
      <c r="K1" s="64"/>
      <c r="L1" s="64"/>
      <c r="M1" s="65"/>
    </row>
    <row r="2" spans="1:13" ht="17.5" x14ac:dyDescent="0.35">
      <c r="A2" s="66" t="s">
        <v>584</v>
      </c>
      <c r="B2" s="66"/>
      <c r="C2" s="66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18.75" customHeight="1" x14ac:dyDescent="0.35">
      <c r="B3" s="628"/>
      <c r="C3" s="628"/>
      <c r="D3" s="628"/>
      <c r="E3" s="628"/>
      <c r="F3" s="629"/>
      <c r="G3" s="629"/>
      <c r="H3" s="629"/>
      <c r="I3" s="629"/>
      <c r="J3" s="629"/>
      <c r="K3" s="629"/>
      <c r="L3" s="629"/>
      <c r="M3" s="629"/>
    </row>
    <row r="4" spans="1:13" ht="15.75" customHeight="1" x14ac:dyDescent="0.35">
      <c r="A4" s="593" t="s">
        <v>567</v>
      </c>
      <c r="B4" s="593"/>
      <c r="C4" s="593"/>
      <c r="D4" s="593"/>
      <c r="E4" s="593"/>
      <c r="F4" s="630" t="s">
        <v>4</v>
      </c>
      <c r="G4" s="631"/>
      <c r="H4" s="631"/>
      <c r="I4" s="631"/>
      <c r="J4" s="631"/>
      <c r="K4" s="631"/>
      <c r="L4" s="631"/>
      <c r="M4" s="632"/>
    </row>
    <row r="5" spans="1:13" ht="32.25" customHeight="1" x14ac:dyDescent="0.35">
      <c r="A5" s="590" t="s">
        <v>575</v>
      </c>
      <c r="B5" s="633" t="s">
        <v>133</v>
      </c>
      <c r="C5" s="590" t="s">
        <v>574</v>
      </c>
      <c r="D5" s="633" t="s">
        <v>6</v>
      </c>
      <c r="E5" s="633" t="s">
        <v>7</v>
      </c>
      <c r="F5" s="635" t="s">
        <v>568</v>
      </c>
      <c r="G5" s="636"/>
      <c r="H5" s="636"/>
      <c r="I5" s="637"/>
      <c r="J5" s="635" t="s">
        <v>571</v>
      </c>
      <c r="K5" s="636"/>
      <c r="L5" s="637"/>
      <c r="M5" s="633" t="s">
        <v>135</v>
      </c>
    </row>
    <row r="6" spans="1:13" ht="30.75" customHeight="1" x14ac:dyDescent="0.35">
      <c r="A6" s="591"/>
      <c r="B6" s="634"/>
      <c r="C6" s="591"/>
      <c r="D6" s="634"/>
      <c r="E6" s="634"/>
      <c r="F6" s="67" t="s">
        <v>8</v>
      </c>
      <c r="G6" s="68" t="s">
        <v>9</v>
      </c>
      <c r="H6" s="67" t="s">
        <v>10</v>
      </c>
      <c r="I6" s="67" t="s">
        <v>11</v>
      </c>
      <c r="J6" s="91" t="s">
        <v>659</v>
      </c>
      <c r="K6" s="68" t="s">
        <v>572</v>
      </c>
      <c r="L6" s="68" t="s">
        <v>573</v>
      </c>
      <c r="M6" s="634"/>
    </row>
    <row r="7" spans="1:13" ht="15" x14ac:dyDescent="0.35">
      <c r="A7" s="95"/>
      <c r="B7" s="96" t="s">
        <v>80</v>
      </c>
      <c r="C7" s="95"/>
      <c r="D7" s="95"/>
      <c r="E7" s="97">
        <f>SUM(E8:E49)</f>
        <v>1520796</v>
      </c>
      <c r="F7" s="95" t="s">
        <v>80</v>
      </c>
      <c r="G7" s="95" t="s">
        <v>80</v>
      </c>
      <c r="H7" s="95" t="s">
        <v>80</v>
      </c>
      <c r="I7" s="136">
        <f>SUM(I8:I49)</f>
        <v>41082.400000000001</v>
      </c>
      <c r="J7" s="97"/>
      <c r="K7" s="136">
        <f>SUM(K8:K50)</f>
        <v>41082.400000000001</v>
      </c>
      <c r="L7" s="95"/>
      <c r="M7" s="95" t="s">
        <v>80</v>
      </c>
    </row>
    <row r="8" spans="1:13" ht="15.5" x14ac:dyDescent="0.35">
      <c r="A8" s="28"/>
      <c r="B8" s="25" t="s">
        <v>242</v>
      </c>
      <c r="C8" s="25" t="s">
        <v>669</v>
      </c>
      <c r="D8" s="51">
        <v>1</v>
      </c>
      <c r="E8" s="52">
        <v>180000</v>
      </c>
      <c r="F8" s="74"/>
      <c r="G8" s="74"/>
      <c r="H8" s="74"/>
      <c r="I8" s="74"/>
      <c r="J8" s="74"/>
      <c r="K8" s="74"/>
      <c r="L8" s="74"/>
      <c r="M8" s="74"/>
    </row>
    <row r="9" spans="1:13" ht="15.5" x14ac:dyDescent="0.35">
      <c r="A9" s="28"/>
      <c r="B9" s="25" t="s">
        <v>24</v>
      </c>
      <c r="C9" s="25" t="s">
        <v>669</v>
      </c>
      <c r="D9" s="51">
        <v>7</v>
      </c>
      <c r="E9" s="52">
        <v>304906</v>
      </c>
      <c r="F9" s="74"/>
      <c r="G9" s="74"/>
      <c r="H9" s="74"/>
      <c r="I9" s="74"/>
      <c r="J9" s="74"/>
      <c r="K9" s="74"/>
      <c r="L9" s="74"/>
      <c r="M9" s="74"/>
    </row>
    <row r="10" spans="1:13" ht="31" x14ac:dyDescent="0.35">
      <c r="A10" s="28"/>
      <c r="B10" s="25" t="s">
        <v>548</v>
      </c>
      <c r="C10" s="25" t="s">
        <v>669</v>
      </c>
      <c r="D10" s="51">
        <v>1</v>
      </c>
      <c r="E10" s="52">
        <v>35528</v>
      </c>
      <c r="F10" s="74"/>
      <c r="G10" s="74"/>
      <c r="H10" s="74"/>
      <c r="I10" s="74"/>
      <c r="J10" s="74"/>
      <c r="K10" s="74"/>
      <c r="L10" s="74"/>
      <c r="M10" s="74"/>
    </row>
    <row r="11" spans="1:13" ht="15.5" x14ac:dyDescent="0.35">
      <c r="A11" s="28"/>
      <c r="B11" s="25" t="s">
        <v>25</v>
      </c>
      <c r="C11" s="25" t="s">
        <v>669</v>
      </c>
      <c r="D11" s="51">
        <v>1</v>
      </c>
      <c r="E11" s="52">
        <v>19000</v>
      </c>
      <c r="F11" s="74"/>
      <c r="G11" s="74"/>
      <c r="H11" s="74"/>
      <c r="I11" s="74"/>
      <c r="J11" s="74"/>
      <c r="K11" s="74"/>
      <c r="L11" s="74"/>
      <c r="M11" s="74"/>
    </row>
    <row r="12" spans="1:13" ht="31" x14ac:dyDescent="0.35">
      <c r="A12" s="28"/>
      <c r="B12" s="25" t="s">
        <v>244</v>
      </c>
      <c r="C12" s="25" t="s">
        <v>669</v>
      </c>
      <c r="D12" s="51">
        <v>1</v>
      </c>
      <c r="E12" s="52">
        <v>26468</v>
      </c>
      <c r="F12" s="74"/>
      <c r="G12" s="74"/>
      <c r="H12" s="74"/>
      <c r="I12" s="74"/>
      <c r="J12" s="74"/>
      <c r="K12" s="74"/>
      <c r="L12" s="74"/>
      <c r="M12" s="74"/>
    </row>
    <row r="13" spans="1:13" ht="15.5" x14ac:dyDescent="0.35">
      <c r="A13" s="28"/>
      <c r="B13" s="25" t="s">
        <v>82</v>
      </c>
      <c r="C13" s="25" t="s">
        <v>669</v>
      </c>
      <c r="D13" s="51">
        <v>1</v>
      </c>
      <c r="E13" s="52">
        <v>25992</v>
      </c>
      <c r="F13" s="74"/>
      <c r="G13" s="74"/>
      <c r="H13" s="74"/>
      <c r="I13" s="74"/>
      <c r="J13" s="74"/>
      <c r="K13" s="74"/>
      <c r="L13" s="74"/>
      <c r="M13" s="74"/>
    </row>
    <row r="14" spans="1:13" ht="31" x14ac:dyDescent="0.35">
      <c r="A14" s="28"/>
      <c r="B14" s="25" t="s">
        <v>83</v>
      </c>
      <c r="C14" s="25" t="s">
        <v>669</v>
      </c>
      <c r="D14" s="51">
        <v>7</v>
      </c>
      <c r="E14" s="52">
        <v>157339</v>
      </c>
      <c r="F14" s="74"/>
      <c r="G14" s="74"/>
      <c r="H14" s="74"/>
      <c r="I14" s="74"/>
      <c r="J14" s="74"/>
      <c r="K14" s="74"/>
      <c r="L14" s="74"/>
      <c r="M14" s="74"/>
    </row>
    <row r="15" spans="1:13" ht="31" x14ac:dyDescent="0.35">
      <c r="A15" s="28"/>
      <c r="B15" s="25" t="s">
        <v>549</v>
      </c>
      <c r="C15" s="25" t="s">
        <v>669</v>
      </c>
      <c r="D15" s="51">
        <v>1</v>
      </c>
      <c r="E15" s="52">
        <v>21685</v>
      </c>
      <c r="F15" s="74"/>
      <c r="G15" s="74"/>
      <c r="H15" s="74"/>
      <c r="I15" s="74"/>
      <c r="J15" s="74"/>
      <c r="K15" s="74"/>
      <c r="L15" s="74"/>
      <c r="M15" s="74"/>
    </row>
    <row r="16" spans="1:13" ht="15.5" x14ac:dyDescent="0.35">
      <c r="A16" s="28"/>
      <c r="B16" s="25" t="s">
        <v>141</v>
      </c>
      <c r="C16" s="25" t="s">
        <v>669</v>
      </c>
      <c r="D16" s="51">
        <v>1</v>
      </c>
      <c r="E16" s="52">
        <v>18910</v>
      </c>
      <c r="F16" s="74"/>
      <c r="G16" s="74"/>
      <c r="H16" s="74"/>
      <c r="I16" s="74"/>
      <c r="J16" s="74"/>
      <c r="K16" s="74"/>
      <c r="L16" s="74"/>
      <c r="M16" s="74"/>
    </row>
    <row r="17" spans="1:13" ht="15.5" x14ac:dyDescent="0.35">
      <c r="A17" s="28"/>
      <c r="B17" s="25" t="s">
        <v>463</v>
      </c>
      <c r="C17" s="25" t="s">
        <v>669</v>
      </c>
      <c r="D17" s="51">
        <v>1</v>
      </c>
      <c r="E17" s="52">
        <v>13736</v>
      </c>
      <c r="F17" s="74"/>
      <c r="G17" s="74"/>
      <c r="H17" s="74"/>
      <c r="I17" s="74"/>
      <c r="J17" s="74"/>
      <c r="K17" s="74"/>
      <c r="L17" s="74"/>
      <c r="M17" s="74"/>
    </row>
    <row r="18" spans="1:13" ht="31" x14ac:dyDescent="0.35">
      <c r="A18" s="28"/>
      <c r="B18" s="25" t="s">
        <v>26</v>
      </c>
      <c r="C18" s="25" t="s">
        <v>669</v>
      </c>
      <c r="D18" s="51">
        <v>1</v>
      </c>
      <c r="E18" s="52">
        <v>11952</v>
      </c>
      <c r="F18" s="74"/>
      <c r="G18" s="74"/>
      <c r="H18" s="74"/>
      <c r="I18" s="74"/>
      <c r="J18" s="74"/>
      <c r="K18" s="74"/>
      <c r="L18" s="74"/>
      <c r="M18" s="74"/>
    </row>
    <row r="19" spans="1:13" ht="15.5" x14ac:dyDescent="0.35">
      <c r="A19" s="28"/>
      <c r="B19" s="25" t="s">
        <v>246</v>
      </c>
      <c r="C19" s="25" t="s">
        <v>669</v>
      </c>
      <c r="D19" s="51">
        <v>15</v>
      </c>
      <c r="E19" s="52">
        <v>179040</v>
      </c>
      <c r="F19" s="74"/>
      <c r="G19" s="74"/>
      <c r="H19" s="74"/>
      <c r="I19" s="74"/>
      <c r="J19" s="74"/>
      <c r="K19" s="74"/>
      <c r="L19" s="74"/>
      <c r="M19" s="74"/>
    </row>
    <row r="20" spans="1:13" ht="46.5" x14ac:dyDescent="0.35">
      <c r="A20" s="28"/>
      <c r="B20" s="25" t="s">
        <v>27</v>
      </c>
      <c r="C20" s="25" t="s">
        <v>669</v>
      </c>
      <c r="D20" s="51">
        <v>2</v>
      </c>
      <c r="E20" s="52">
        <v>22964</v>
      </c>
      <c r="F20" s="74"/>
      <c r="G20" s="74"/>
      <c r="H20" s="74"/>
      <c r="I20" s="74"/>
      <c r="J20" s="74"/>
      <c r="K20" s="74"/>
      <c r="L20" s="74"/>
      <c r="M20" s="74"/>
    </row>
    <row r="21" spans="1:13" ht="15.5" x14ac:dyDescent="0.35">
      <c r="A21" s="28"/>
      <c r="B21" s="25" t="s">
        <v>28</v>
      </c>
      <c r="C21" s="25" t="s">
        <v>669</v>
      </c>
      <c r="D21" s="51">
        <v>1</v>
      </c>
      <c r="E21" s="52">
        <v>8324</v>
      </c>
      <c r="F21" s="74"/>
      <c r="G21" s="74"/>
      <c r="H21" s="74"/>
      <c r="I21" s="74"/>
      <c r="J21" s="74"/>
      <c r="K21" s="74"/>
      <c r="L21" s="74"/>
      <c r="M21" s="74"/>
    </row>
    <row r="22" spans="1:13" ht="31" x14ac:dyDescent="0.35">
      <c r="A22" s="28"/>
      <c r="B22" s="25" t="s">
        <v>150</v>
      </c>
      <c r="C22" s="25" t="s">
        <v>669</v>
      </c>
      <c r="D22" s="51">
        <v>1</v>
      </c>
      <c r="E22" s="52">
        <v>7186</v>
      </c>
      <c r="F22" s="74"/>
      <c r="G22" s="74"/>
      <c r="H22" s="74"/>
      <c r="I22" s="74"/>
      <c r="J22" s="74"/>
      <c r="K22" s="74"/>
      <c r="L22" s="74"/>
      <c r="M22" s="74"/>
    </row>
    <row r="23" spans="1:13" ht="31" x14ac:dyDescent="0.35">
      <c r="A23" s="28"/>
      <c r="B23" s="25" t="s">
        <v>153</v>
      </c>
      <c r="C23" s="25" t="s">
        <v>669</v>
      </c>
      <c r="D23" s="51">
        <v>2</v>
      </c>
      <c r="E23" s="52">
        <v>12806</v>
      </c>
      <c r="F23" s="74"/>
      <c r="G23" s="74"/>
      <c r="H23" s="74"/>
      <c r="I23" s="74"/>
      <c r="J23" s="74"/>
      <c r="K23" s="74"/>
      <c r="L23" s="74"/>
      <c r="M23" s="74"/>
    </row>
    <row r="24" spans="1:13" ht="15.5" x14ac:dyDescent="0.35">
      <c r="A24" s="28"/>
      <c r="B24" s="25" t="s">
        <v>29</v>
      </c>
      <c r="C24" s="25" t="s">
        <v>669</v>
      </c>
      <c r="D24" s="51">
        <v>1</v>
      </c>
      <c r="E24" s="52">
        <v>5677</v>
      </c>
      <c r="F24" s="74"/>
      <c r="G24" s="74"/>
      <c r="H24" s="74"/>
      <c r="I24" s="74"/>
      <c r="J24" s="74"/>
      <c r="K24" s="74"/>
      <c r="L24" s="74"/>
      <c r="M24" s="74"/>
    </row>
    <row r="25" spans="1:13" ht="15.5" x14ac:dyDescent="0.35">
      <c r="A25" s="28"/>
      <c r="B25" s="25" t="s">
        <v>30</v>
      </c>
      <c r="C25" s="25" t="s">
        <v>669</v>
      </c>
      <c r="D25" s="51">
        <v>3</v>
      </c>
      <c r="E25" s="52">
        <v>16494</v>
      </c>
      <c r="F25" s="74"/>
      <c r="G25" s="74"/>
      <c r="H25" s="74"/>
      <c r="I25" s="74"/>
      <c r="J25" s="74"/>
      <c r="K25" s="74"/>
      <c r="L25" s="74"/>
      <c r="M25" s="74"/>
    </row>
    <row r="26" spans="1:13" ht="15.5" x14ac:dyDescent="0.35">
      <c r="A26" s="28"/>
      <c r="B26" s="25" t="s">
        <v>84</v>
      </c>
      <c r="C26" s="25" t="s">
        <v>669</v>
      </c>
      <c r="D26" s="51">
        <v>15</v>
      </c>
      <c r="E26" s="52">
        <v>46890</v>
      </c>
      <c r="F26" s="74"/>
      <c r="G26" s="74"/>
      <c r="H26" s="74"/>
      <c r="I26" s="74"/>
      <c r="J26" s="74"/>
      <c r="K26" s="74"/>
      <c r="L26" s="74"/>
      <c r="M26" s="74"/>
    </row>
    <row r="27" spans="1:13" ht="42" x14ac:dyDescent="0.35">
      <c r="A27" s="276" t="s">
        <v>676</v>
      </c>
      <c r="B27" s="276" t="s">
        <v>33</v>
      </c>
      <c r="C27" s="276" t="s">
        <v>669</v>
      </c>
      <c r="D27" s="285">
        <v>1</v>
      </c>
      <c r="E27" s="286">
        <v>1493</v>
      </c>
      <c r="F27" s="287">
        <v>21332</v>
      </c>
      <c r="G27" s="288">
        <v>44327</v>
      </c>
      <c r="H27" s="287" t="s">
        <v>176</v>
      </c>
      <c r="I27" s="287">
        <v>1464.1</v>
      </c>
      <c r="J27" s="287" t="s">
        <v>673</v>
      </c>
      <c r="K27" s="287">
        <v>1464.1</v>
      </c>
      <c r="L27" s="287"/>
      <c r="M27" s="268" t="s">
        <v>1053</v>
      </c>
    </row>
    <row r="28" spans="1:13" ht="15.5" x14ac:dyDescent="0.35">
      <c r="A28" s="28"/>
      <c r="B28" s="25" t="s">
        <v>137</v>
      </c>
      <c r="C28" s="25" t="s">
        <v>669</v>
      </c>
      <c r="D28" s="51">
        <v>2</v>
      </c>
      <c r="E28" s="52">
        <v>2740</v>
      </c>
      <c r="F28" s="74"/>
      <c r="G28" s="74"/>
      <c r="H28" s="74"/>
      <c r="I28" s="74"/>
      <c r="J28" s="74"/>
      <c r="K28" s="74"/>
      <c r="L28" s="74"/>
      <c r="M28" s="74"/>
    </row>
    <row r="29" spans="1:13" s="75" customFormat="1" ht="42" x14ac:dyDescent="0.35">
      <c r="A29" s="276" t="s">
        <v>674</v>
      </c>
      <c r="B29" s="276" t="s">
        <v>34</v>
      </c>
      <c r="C29" s="276" t="s">
        <v>669</v>
      </c>
      <c r="D29" s="285">
        <v>1</v>
      </c>
      <c r="E29" s="286">
        <v>1300</v>
      </c>
      <c r="F29" s="287">
        <v>210646</v>
      </c>
      <c r="G29" s="288">
        <v>44293</v>
      </c>
      <c r="H29" s="287" t="s">
        <v>550</v>
      </c>
      <c r="I29" s="287">
        <v>1489.99</v>
      </c>
      <c r="J29" s="289" t="s">
        <v>551</v>
      </c>
      <c r="K29" s="287">
        <v>1489.99</v>
      </c>
      <c r="L29" s="287"/>
      <c r="M29" s="268" t="s">
        <v>1053</v>
      </c>
    </row>
    <row r="30" spans="1:13" ht="15.5" x14ac:dyDescent="0.35">
      <c r="A30" s="28"/>
      <c r="B30" s="25" t="s">
        <v>34</v>
      </c>
      <c r="C30" s="25" t="s">
        <v>669</v>
      </c>
      <c r="D30" s="51">
        <v>1</v>
      </c>
      <c r="E30" s="52">
        <v>1300</v>
      </c>
      <c r="F30" s="74"/>
      <c r="G30" s="74"/>
      <c r="H30" s="74"/>
      <c r="I30" s="74"/>
      <c r="J30" s="74"/>
      <c r="K30" s="74"/>
      <c r="L30" s="74"/>
      <c r="M30" s="74"/>
    </row>
    <row r="31" spans="1:13" ht="31" x14ac:dyDescent="0.35">
      <c r="A31" s="281" t="s">
        <v>35</v>
      </c>
      <c r="B31" s="281" t="s">
        <v>35</v>
      </c>
      <c r="C31" s="281" t="s">
        <v>669</v>
      </c>
      <c r="D31" s="290">
        <v>5</v>
      </c>
      <c r="E31" s="291">
        <v>6500</v>
      </c>
      <c r="F31" s="292">
        <v>210700231</v>
      </c>
      <c r="G31" s="295">
        <v>44391</v>
      </c>
      <c r="H31" s="292" t="s">
        <v>947</v>
      </c>
      <c r="I31" s="292">
        <v>2783</v>
      </c>
      <c r="J31" s="292" t="s">
        <v>946</v>
      </c>
      <c r="K31" s="292">
        <v>2783</v>
      </c>
      <c r="L31" s="292"/>
      <c r="M31" s="292"/>
    </row>
    <row r="32" spans="1:13" ht="15.5" x14ac:dyDescent="0.35">
      <c r="A32" s="28"/>
      <c r="B32" s="25" t="s">
        <v>497</v>
      </c>
      <c r="C32" s="25" t="s">
        <v>669</v>
      </c>
      <c r="D32" s="51">
        <v>5</v>
      </c>
      <c r="E32" s="52">
        <v>5975</v>
      </c>
      <c r="F32" s="74"/>
      <c r="G32" s="74"/>
      <c r="H32" s="74"/>
      <c r="I32" s="74"/>
      <c r="J32" s="74"/>
      <c r="K32" s="74"/>
      <c r="L32" s="74"/>
      <c r="M32" s="74"/>
    </row>
    <row r="33" spans="1:13" ht="15.5" x14ac:dyDescent="0.35">
      <c r="A33" s="28"/>
      <c r="B33" s="25" t="s">
        <v>36</v>
      </c>
      <c r="C33" s="25" t="s">
        <v>669</v>
      </c>
      <c r="D33" s="51">
        <v>1</v>
      </c>
      <c r="E33" s="52">
        <v>1165</v>
      </c>
      <c r="F33" s="74"/>
      <c r="G33" s="74"/>
      <c r="H33" s="74"/>
      <c r="I33" s="74"/>
      <c r="J33" s="74"/>
      <c r="K33" s="74"/>
      <c r="L33" s="74"/>
      <c r="M33" s="74"/>
    </row>
    <row r="34" spans="1:13" ht="31" x14ac:dyDescent="0.35">
      <c r="A34" s="28"/>
      <c r="B34" s="25" t="s">
        <v>464</v>
      </c>
      <c r="C34" s="25" t="s">
        <v>669</v>
      </c>
      <c r="D34" s="51">
        <v>30</v>
      </c>
      <c r="E34" s="52">
        <v>66330</v>
      </c>
      <c r="F34" s="74"/>
      <c r="G34" s="74"/>
      <c r="H34" s="74"/>
      <c r="I34" s="74"/>
      <c r="J34" s="74"/>
      <c r="K34" s="74"/>
      <c r="L34" s="74"/>
      <c r="M34" s="74"/>
    </row>
    <row r="35" spans="1:13" ht="31" x14ac:dyDescent="0.35">
      <c r="A35" s="281" t="s">
        <v>1066</v>
      </c>
      <c r="B35" s="281" t="s">
        <v>37</v>
      </c>
      <c r="C35" s="281" t="s">
        <v>669</v>
      </c>
      <c r="D35" s="290">
        <v>5</v>
      </c>
      <c r="E35" s="291">
        <v>5490</v>
      </c>
      <c r="F35" s="292">
        <v>301391</v>
      </c>
      <c r="G35" s="295">
        <v>44348</v>
      </c>
      <c r="H35" s="292" t="s">
        <v>945</v>
      </c>
      <c r="I35" s="292">
        <v>1179.75</v>
      </c>
      <c r="J35" s="292" t="s">
        <v>944</v>
      </c>
      <c r="K35" s="292">
        <v>1179.75</v>
      </c>
      <c r="L35" s="292"/>
      <c r="M35" s="292"/>
    </row>
    <row r="36" spans="1:13" ht="31" x14ac:dyDescent="0.35">
      <c r="A36" s="28"/>
      <c r="B36" s="25" t="s">
        <v>38</v>
      </c>
      <c r="C36" s="25" t="s">
        <v>669</v>
      </c>
      <c r="D36" s="51">
        <v>10</v>
      </c>
      <c r="E36" s="52">
        <v>6720</v>
      </c>
      <c r="F36" s="74"/>
      <c r="G36" s="74"/>
      <c r="H36" s="74"/>
      <c r="I36" s="74"/>
      <c r="J36" s="74"/>
      <c r="K36" s="74"/>
      <c r="L36" s="74"/>
      <c r="M36" s="74"/>
    </row>
    <row r="37" spans="1:13" ht="15.5" x14ac:dyDescent="0.35">
      <c r="A37" s="28"/>
      <c r="B37" s="25" t="s">
        <v>39</v>
      </c>
      <c r="C37" s="25" t="s">
        <v>669</v>
      </c>
      <c r="D37" s="51">
        <v>1</v>
      </c>
      <c r="E37" s="52">
        <v>49489</v>
      </c>
      <c r="F37" s="74"/>
      <c r="G37" s="74"/>
      <c r="H37" s="74"/>
      <c r="I37" s="74"/>
      <c r="J37" s="74"/>
      <c r="K37" s="74"/>
      <c r="L37" s="74"/>
      <c r="M37" s="74"/>
    </row>
    <row r="38" spans="1:13" ht="46.5" x14ac:dyDescent="0.35">
      <c r="A38" s="28"/>
      <c r="B38" s="25" t="s">
        <v>41</v>
      </c>
      <c r="C38" s="25" t="s">
        <v>669</v>
      </c>
      <c r="D38" s="51">
        <v>3</v>
      </c>
      <c r="E38" s="52">
        <v>41628</v>
      </c>
      <c r="F38" s="74"/>
      <c r="G38" s="74"/>
      <c r="H38" s="74"/>
      <c r="I38" s="74"/>
      <c r="J38" s="74"/>
      <c r="K38" s="74"/>
      <c r="L38" s="74"/>
      <c r="M38" s="74"/>
    </row>
    <row r="39" spans="1:13" ht="31" x14ac:dyDescent="0.35">
      <c r="A39" s="28"/>
      <c r="B39" s="25" t="s">
        <v>26</v>
      </c>
      <c r="C39" s="25" t="s">
        <v>669</v>
      </c>
      <c r="D39" s="51">
        <v>3</v>
      </c>
      <c r="E39" s="52">
        <v>35856</v>
      </c>
      <c r="F39" s="74"/>
      <c r="G39" s="74"/>
      <c r="H39" s="74"/>
      <c r="I39" s="74"/>
      <c r="J39" s="74"/>
      <c r="K39" s="74"/>
      <c r="L39" s="74"/>
      <c r="M39" s="74"/>
    </row>
    <row r="40" spans="1:13" ht="31" x14ac:dyDescent="0.35">
      <c r="A40" s="281" t="s">
        <v>1065</v>
      </c>
      <c r="B40" s="281" t="s">
        <v>42</v>
      </c>
      <c r="C40" s="281" t="s">
        <v>669</v>
      </c>
      <c r="D40" s="290">
        <v>3</v>
      </c>
      <c r="E40" s="291">
        <v>28905</v>
      </c>
      <c r="F40" s="292">
        <v>168</v>
      </c>
      <c r="G40" s="295">
        <v>44349</v>
      </c>
      <c r="H40" s="292" t="s">
        <v>943</v>
      </c>
      <c r="I40" s="292">
        <v>21914.31</v>
      </c>
      <c r="J40" s="292" t="s">
        <v>942</v>
      </c>
      <c r="K40" s="292">
        <v>21914.31</v>
      </c>
      <c r="L40" s="292"/>
      <c r="M40" s="292"/>
    </row>
    <row r="41" spans="1:13" ht="15.5" x14ac:dyDescent="0.35">
      <c r="A41" s="28"/>
      <c r="B41" s="25" t="s">
        <v>43</v>
      </c>
      <c r="C41" s="25" t="s">
        <v>669</v>
      </c>
      <c r="D41" s="51">
        <v>3</v>
      </c>
      <c r="E41" s="52">
        <v>28470</v>
      </c>
      <c r="F41" s="74"/>
      <c r="G41" s="74"/>
      <c r="H41" s="74"/>
      <c r="I41" s="74"/>
      <c r="J41" s="74"/>
      <c r="K41" s="74"/>
      <c r="L41" s="74"/>
      <c r="M41" s="74"/>
    </row>
    <row r="42" spans="1:13" ht="15.5" x14ac:dyDescent="0.35">
      <c r="A42" s="28"/>
      <c r="B42" s="25" t="s">
        <v>29</v>
      </c>
      <c r="C42" s="25" t="s">
        <v>669</v>
      </c>
      <c r="D42" s="51">
        <v>3</v>
      </c>
      <c r="E42" s="52">
        <v>17031</v>
      </c>
      <c r="F42" s="74"/>
      <c r="G42" s="74"/>
      <c r="H42" s="74"/>
      <c r="I42" s="74"/>
      <c r="J42" s="74"/>
      <c r="K42" s="74"/>
      <c r="L42" s="74"/>
      <c r="M42" s="74"/>
    </row>
    <row r="43" spans="1:13" ht="15.5" x14ac:dyDescent="0.35">
      <c r="A43" s="28"/>
      <c r="B43" s="25" t="s">
        <v>44</v>
      </c>
      <c r="C43" s="25" t="s">
        <v>669</v>
      </c>
      <c r="D43" s="51">
        <v>18</v>
      </c>
      <c r="E43" s="52">
        <v>75791</v>
      </c>
      <c r="F43" s="74"/>
      <c r="G43" s="74"/>
      <c r="H43" s="74"/>
      <c r="I43" s="74"/>
      <c r="J43" s="74"/>
      <c r="K43" s="74"/>
      <c r="L43" s="74"/>
      <c r="M43" s="74"/>
    </row>
    <row r="44" spans="1:13" ht="31" x14ac:dyDescent="0.35">
      <c r="A44" s="281" t="s">
        <v>45</v>
      </c>
      <c r="B44" s="281" t="s">
        <v>45</v>
      </c>
      <c r="C44" s="281" t="s">
        <v>669</v>
      </c>
      <c r="D44" s="290">
        <v>6</v>
      </c>
      <c r="E44" s="291">
        <v>12408</v>
      </c>
      <c r="F44" s="292">
        <v>21885</v>
      </c>
      <c r="G44" s="295">
        <v>44412</v>
      </c>
      <c r="H44" s="292" t="s">
        <v>176</v>
      </c>
      <c r="I44" s="292">
        <v>10527</v>
      </c>
      <c r="J44" s="292" t="s">
        <v>941</v>
      </c>
      <c r="K44" s="292">
        <v>10527</v>
      </c>
      <c r="L44" s="292"/>
      <c r="M44" s="292"/>
    </row>
    <row r="45" spans="1:13" ht="15.5" x14ac:dyDescent="0.35">
      <c r="A45" s="28"/>
      <c r="B45" s="25" t="s">
        <v>511</v>
      </c>
      <c r="C45" s="25" t="s">
        <v>669</v>
      </c>
      <c r="D45" s="51">
        <v>3</v>
      </c>
      <c r="E45" s="52">
        <v>4461</v>
      </c>
      <c r="F45" s="74"/>
      <c r="G45" s="74"/>
      <c r="H45" s="74"/>
      <c r="I45" s="74"/>
      <c r="J45" s="74"/>
      <c r="K45" s="74"/>
      <c r="L45" s="74"/>
      <c r="M45" s="74"/>
    </row>
    <row r="46" spans="1:13" ht="31" x14ac:dyDescent="0.35">
      <c r="A46" s="28"/>
      <c r="B46" s="25" t="s">
        <v>530</v>
      </c>
      <c r="C46" s="25" t="s">
        <v>669</v>
      </c>
      <c r="D46" s="51">
        <v>1</v>
      </c>
      <c r="E46" s="52">
        <v>1409</v>
      </c>
      <c r="F46" s="74"/>
      <c r="G46" s="74"/>
      <c r="H46" s="74"/>
      <c r="I46" s="74"/>
      <c r="J46" s="74"/>
      <c r="K46" s="74"/>
      <c r="L46" s="74"/>
      <c r="M46" s="74"/>
    </row>
    <row r="47" spans="1:13" ht="15.5" x14ac:dyDescent="0.35">
      <c r="A47" s="28"/>
      <c r="B47" s="25" t="s">
        <v>137</v>
      </c>
      <c r="C47" s="25" t="s">
        <v>669</v>
      </c>
      <c r="D47" s="51">
        <v>2</v>
      </c>
      <c r="E47" s="52">
        <v>2740</v>
      </c>
      <c r="F47" s="74"/>
      <c r="G47" s="74"/>
      <c r="H47" s="74"/>
      <c r="I47" s="74"/>
      <c r="J47" s="74"/>
      <c r="K47" s="74"/>
      <c r="L47" s="74"/>
      <c r="M47" s="74"/>
    </row>
    <row r="48" spans="1:13" ht="15.5" x14ac:dyDescent="0.35">
      <c r="A48" s="28"/>
      <c r="B48" s="25" t="s">
        <v>20</v>
      </c>
      <c r="C48" s="25" t="s">
        <v>669</v>
      </c>
      <c r="D48" s="51">
        <v>6</v>
      </c>
      <c r="E48" s="52">
        <v>6970</v>
      </c>
      <c r="F48" s="74"/>
      <c r="G48" s="74"/>
      <c r="H48" s="74"/>
      <c r="I48" s="74"/>
      <c r="J48" s="74"/>
      <c r="K48" s="74"/>
      <c r="L48" s="74"/>
      <c r="M48" s="74"/>
    </row>
    <row r="49" spans="1:13" ht="62" x14ac:dyDescent="0.35">
      <c r="A49" s="276" t="s">
        <v>675</v>
      </c>
      <c r="B49" s="276" t="s">
        <v>46</v>
      </c>
      <c r="C49" s="276" t="s">
        <v>669</v>
      </c>
      <c r="D49" s="285">
        <v>3</v>
      </c>
      <c r="E49" s="286">
        <v>1728</v>
      </c>
      <c r="F49" s="287">
        <v>108206</v>
      </c>
      <c r="G49" s="288">
        <v>44273</v>
      </c>
      <c r="H49" s="293" t="s">
        <v>552</v>
      </c>
      <c r="I49" s="287">
        <v>1724.25</v>
      </c>
      <c r="J49" s="294" t="s">
        <v>710</v>
      </c>
      <c r="K49" s="287">
        <v>1724.25</v>
      </c>
      <c r="L49" s="287"/>
      <c r="M49" s="268" t="s">
        <v>1053</v>
      </c>
    </row>
    <row r="50" spans="1:13" ht="15.5" x14ac:dyDescent="0.35">
      <c r="A50" s="98"/>
      <c r="B50" s="99"/>
      <c r="C50" s="99"/>
      <c r="D50" s="99"/>
      <c r="E50" s="100"/>
      <c r="F50" s="99"/>
      <c r="G50" s="99"/>
      <c r="H50" s="99"/>
      <c r="I50" s="99"/>
      <c r="J50" s="99"/>
      <c r="K50" s="99"/>
      <c r="L50" s="99"/>
      <c r="M50" s="99"/>
    </row>
    <row r="51" spans="1:13" ht="15.5" x14ac:dyDescent="0.3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</sheetData>
  <mergeCells count="11">
    <mergeCell ref="A5:A6"/>
    <mergeCell ref="C5:C6"/>
    <mergeCell ref="A4:E4"/>
    <mergeCell ref="B5:B6"/>
    <mergeCell ref="D5:D6"/>
    <mergeCell ref="B3:M3"/>
    <mergeCell ref="F4:M4"/>
    <mergeCell ref="E5:E6"/>
    <mergeCell ref="F5:I5"/>
    <mergeCell ref="M5:M6"/>
    <mergeCell ref="J5:L5"/>
  </mergeCells>
  <pageMargins left="0.7" right="0.7" top="0.75" bottom="0.75" header="0.3" footer="0.3"/>
  <pageSetup paperSize="9" scale="3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DC82-55D2-40C0-9C28-E5FF7604AF2D}">
  <sheetPr>
    <tabColor rgb="FF00B0F0"/>
  </sheetPr>
  <dimension ref="A1:M32"/>
  <sheetViews>
    <sheetView view="pageBreakPreview" zoomScale="60" zoomScaleNormal="80" workbookViewId="0">
      <selection activeCell="A25" sqref="A25"/>
    </sheetView>
  </sheetViews>
  <sheetFormatPr defaultColWidth="9.1796875" defaultRowHeight="14" x14ac:dyDescent="0.35"/>
  <cols>
    <col min="1" max="1" width="28.81640625" style="4" customWidth="1"/>
    <col min="2" max="2" width="35.54296875" style="4" customWidth="1"/>
    <col min="3" max="3" width="22.1796875" style="4" customWidth="1"/>
    <col min="4" max="4" width="8.1796875" style="4" customWidth="1"/>
    <col min="5" max="5" width="17.7265625" style="4" customWidth="1"/>
    <col min="6" max="7" width="14.1796875" style="4" customWidth="1"/>
    <col min="8" max="8" width="30.26953125" style="4" customWidth="1"/>
    <col min="9" max="9" width="17.81640625" style="4" customWidth="1"/>
    <col min="10" max="10" width="14.7265625" style="4" customWidth="1"/>
    <col min="11" max="11" width="18.54296875" style="4" customWidth="1"/>
    <col min="12" max="12" width="18.1796875" style="4" customWidth="1"/>
    <col min="13" max="13" width="32.7265625" style="4" customWidth="1"/>
    <col min="14" max="15" width="10" style="4" bestFit="1" customWidth="1"/>
    <col min="16" max="16384" width="9.1796875" style="4"/>
  </cols>
  <sheetData>
    <row r="1" spans="1:13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5.5" x14ac:dyDescent="0.35">
      <c r="A2" s="168" t="s">
        <v>900</v>
      </c>
      <c r="B2" s="169"/>
      <c r="C2" s="169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17.5" x14ac:dyDescent="0.35">
      <c r="A4" s="650" t="s">
        <v>4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</row>
    <row r="5" spans="1:13" ht="15" x14ac:dyDescent="0.35">
      <c r="A5" s="587" t="s">
        <v>567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</row>
    <row r="6" spans="1:13" ht="15" x14ac:dyDescent="0.35">
      <c r="A6" s="590" t="s">
        <v>575</v>
      </c>
      <c r="B6" s="590" t="s">
        <v>19</v>
      </c>
      <c r="C6" s="590" t="s">
        <v>574</v>
      </c>
      <c r="D6" s="590" t="s">
        <v>6</v>
      </c>
      <c r="E6" s="590" t="s">
        <v>899</v>
      </c>
      <c r="F6" s="587" t="s">
        <v>568</v>
      </c>
      <c r="G6" s="588"/>
      <c r="H6" s="588"/>
      <c r="I6" s="589"/>
      <c r="J6" s="122"/>
      <c r="K6" s="653" t="s">
        <v>571</v>
      </c>
      <c r="L6" s="654"/>
      <c r="M6" s="590" t="s">
        <v>135</v>
      </c>
    </row>
    <row r="7" spans="1:13" ht="30" x14ac:dyDescent="0.35">
      <c r="A7" s="591"/>
      <c r="B7" s="591"/>
      <c r="C7" s="591"/>
      <c r="D7" s="591"/>
      <c r="E7" s="591"/>
      <c r="F7" s="104" t="s">
        <v>8</v>
      </c>
      <c r="G7" s="104" t="s">
        <v>9</v>
      </c>
      <c r="H7" s="104" t="s">
        <v>10</v>
      </c>
      <c r="I7" s="104" t="s">
        <v>898</v>
      </c>
      <c r="J7" s="104" t="s">
        <v>659</v>
      </c>
      <c r="K7" s="104" t="s">
        <v>572</v>
      </c>
      <c r="L7" s="104" t="s">
        <v>573</v>
      </c>
      <c r="M7" s="591"/>
    </row>
    <row r="8" spans="1:13" ht="15" x14ac:dyDescent="0.35">
      <c r="A8" s="6" t="s">
        <v>12</v>
      </c>
      <c r="B8" s="7" t="s">
        <v>80</v>
      </c>
      <c r="C8" s="7"/>
      <c r="D8" s="7"/>
      <c r="E8" s="167">
        <f>SUM(E9:E31)-E9-E20</f>
        <v>1443383</v>
      </c>
      <c r="F8" s="7" t="s">
        <v>80</v>
      </c>
      <c r="G8" s="7" t="s">
        <v>80</v>
      </c>
      <c r="H8" s="7" t="s">
        <v>80</v>
      </c>
      <c r="I8" s="167">
        <f>SUM(I10:I31)</f>
        <v>60456.51</v>
      </c>
      <c r="J8" s="167"/>
      <c r="K8" s="167">
        <f>SUM(K10:K31)</f>
        <v>60456.51</v>
      </c>
      <c r="L8" s="167">
        <f>SUM(L9:L31)</f>
        <v>0</v>
      </c>
      <c r="M8" s="7" t="s">
        <v>80</v>
      </c>
    </row>
    <row r="9" spans="1:13" ht="15.5" x14ac:dyDescent="0.35">
      <c r="A9" s="323"/>
      <c r="B9" s="324" t="s">
        <v>897</v>
      </c>
      <c r="C9" s="324"/>
      <c r="D9" s="325"/>
      <c r="E9" s="645">
        <f>SUM(E10:E19)</f>
        <v>177202</v>
      </c>
      <c r="F9" s="646"/>
      <c r="G9" s="646"/>
      <c r="H9" s="646"/>
      <c r="I9" s="646"/>
      <c r="J9" s="646"/>
      <c r="K9" s="646"/>
      <c r="L9" s="646"/>
      <c r="M9" s="646"/>
    </row>
    <row r="10" spans="1:13" ht="30" x14ac:dyDescent="0.35">
      <c r="A10" s="311"/>
      <c r="B10" s="312" t="s">
        <v>896</v>
      </c>
      <c r="C10" s="312" t="s">
        <v>669</v>
      </c>
      <c r="D10" s="326">
        <v>1</v>
      </c>
      <c r="E10" s="314">
        <v>22784</v>
      </c>
      <c r="F10" s="315"/>
      <c r="G10" s="316"/>
      <c r="H10" s="322"/>
      <c r="I10" s="317"/>
      <c r="J10" s="317"/>
      <c r="K10" s="316"/>
      <c r="L10" s="318"/>
      <c r="M10" s="296"/>
    </row>
    <row r="11" spans="1:13" ht="30" x14ac:dyDescent="0.35">
      <c r="A11" s="311"/>
      <c r="B11" s="312" t="s">
        <v>27</v>
      </c>
      <c r="C11" s="312" t="s">
        <v>669</v>
      </c>
      <c r="D11" s="326">
        <v>1</v>
      </c>
      <c r="E11" s="314">
        <v>11482</v>
      </c>
      <c r="F11" s="315"/>
      <c r="G11" s="316"/>
      <c r="H11" s="322"/>
      <c r="I11" s="317"/>
      <c r="J11" s="317"/>
      <c r="K11" s="316"/>
      <c r="L11" s="318"/>
      <c r="M11" s="296"/>
    </row>
    <row r="12" spans="1:13" ht="30" x14ac:dyDescent="0.35">
      <c r="A12" s="311"/>
      <c r="B12" s="312" t="s">
        <v>153</v>
      </c>
      <c r="C12" s="312" t="s">
        <v>669</v>
      </c>
      <c r="D12" s="326">
        <v>1</v>
      </c>
      <c r="E12" s="314">
        <v>25000</v>
      </c>
      <c r="F12" s="315"/>
      <c r="G12" s="316"/>
      <c r="H12" s="322"/>
      <c r="I12" s="317"/>
      <c r="J12" s="317"/>
      <c r="K12" s="316"/>
      <c r="L12" s="318"/>
      <c r="M12" s="296"/>
    </row>
    <row r="13" spans="1:13" ht="15" x14ac:dyDescent="0.35">
      <c r="A13" s="311"/>
      <c r="B13" s="312" t="s">
        <v>31</v>
      </c>
      <c r="C13" s="312" t="s">
        <v>669</v>
      </c>
      <c r="D13" s="326">
        <v>8</v>
      </c>
      <c r="E13" s="314">
        <f>D13*7600</f>
        <v>60800</v>
      </c>
      <c r="F13" s="315"/>
      <c r="G13" s="316"/>
      <c r="H13" s="322"/>
      <c r="I13" s="317"/>
      <c r="J13" s="317"/>
      <c r="K13" s="316"/>
      <c r="L13" s="318"/>
      <c r="M13" s="296"/>
    </row>
    <row r="14" spans="1:13" ht="15" x14ac:dyDescent="0.35">
      <c r="A14" s="311"/>
      <c r="B14" s="312" t="s">
        <v>32</v>
      </c>
      <c r="C14" s="312" t="s">
        <v>669</v>
      </c>
      <c r="D14" s="326">
        <v>8</v>
      </c>
      <c r="E14" s="314">
        <f>D14*2638</f>
        <v>21104</v>
      </c>
      <c r="F14" s="315"/>
      <c r="G14" s="316"/>
      <c r="H14" s="322"/>
      <c r="I14" s="317"/>
      <c r="J14" s="317"/>
      <c r="K14" s="316"/>
      <c r="L14" s="318"/>
      <c r="M14" s="296"/>
    </row>
    <row r="15" spans="1:13" ht="15" x14ac:dyDescent="0.35">
      <c r="A15" s="311"/>
      <c r="B15" s="312" t="s">
        <v>34</v>
      </c>
      <c r="C15" s="312" t="s">
        <v>669</v>
      </c>
      <c r="D15" s="326">
        <v>1</v>
      </c>
      <c r="E15" s="314">
        <v>2000</v>
      </c>
      <c r="F15" s="315"/>
      <c r="G15" s="316"/>
      <c r="H15" s="322"/>
      <c r="I15" s="317"/>
      <c r="J15" s="317"/>
      <c r="K15" s="316"/>
      <c r="L15" s="318"/>
      <c r="M15" s="296"/>
    </row>
    <row r="16" spans="1:13" ht="15" x14ac:dyDescent="0.35">
      <c r="A16" s="311"/>
      <c r="B16" s="312" t="s">
        <v>35</v>
      </c>
      <c r="C16" s="312" t="s">
        <v>669</v>
      </c>
      <c r="D16" s="326">
        <v>8</v>
      </c>
      <c r="E16" s="314">
        <f>D16*1300</f>
        <v>10400</v>
      </c>
      <c r="F16" s="315"/>
      <c r="G16" s="316"/>
      <c r="H16" s="322"/>
      <c r="I16" s="317"/>
      <c r="J16" s="317"/>
      <c r="K16" s="316"/>
      <c r="L16" s="318"/>
      <c r="M16" s="296"/>
    </row>
    <row r="17" spans="1:13" ht="15" x14ac:dyDescent="0.35">
      <c r="A17" s="311"/>
      <c r="B17" s="312" t="s">
        <v>38</v>
      </c>
      <c r="C17" s="312" t="s">
        <v>669</v>
      </c>
      <c r="D17" s="326">
        <v>4</v>
      </c>
      <c r="E17" s="314">
        <f>D17*672</f>
        <v>2688</v>
      </c>
      <c r="F17" s="315"/>
      <c r="G17" s="316"/>
      <c r="H17" s="322"/>
      <c r="I17" s="317"/>
      <c r="J17" s="317"/>
      <c r="K17" s="316"/>
      <c r="L17" s="318"/>
      <c r="M17" s="296"/>
    </row>
    <row r="18" spans="1:13" ht="15" x14ac:dyDescent="0.35">
      <c r="A18" s="311"/>
      <c r="B18" s="312" t="s">
        <v>45</v>
      </c>
      <c r="C18" s="312" t="s">
        <v>669</v>
      </c>
      <c r="D18" s="326">
        <v>8</v>
      </c>
      <c r="E18" s="314">
        <f>D18*2068</f>
        <v>16544</v>
      </c>
      <c r="F18" s="315"/>
      <c r="G18" s="316"/>
      <c r="H18" s="322"/>
      <c r="I18" s="317"/>
      <c r="J18" s="317"/>
      <c r="K18" s="316"/>
      <c r="L18" s="318"/>
      <c r="M18" s="296"/>
    </row>
    <row r="19" spans="1:13" ht="30" x14ac:dyDescent="0.35">
      <c r="A19" s="297" t="s">
        <v>46</v>
      </c>
      <c r="B19" s="297" t="s">
        <v>46</v>
      </c>
      <c r="C19" s="297" t="s">
        <v>669</v>
      </c>
      <c r="D19" s="310">
        <v>4</v>
      </c>
      <c r="E19" s="299">
        <f>D19*1100</f>
        <v>4400</v>
      </c>
      <c r="F19" s="300" t="s">
        <v>962</v>
      </c>
      <c r="G19" s="301" t="s">
        <v>961</v>
      </c>
      <c r="H19" s="302" t="s">
        <v>956</v>
      </c>
      <c r="I19" s="308">
        <v>4138.2</v>
      </c>
      <c r="J19" s="304">
        <v>849</v>
      </c>
      <c r="K19" s="301">
        <v>4138.2</v>
      </c>
      <c r="L19" s="305"/>
      <c r="M19" s="309"/>
    </row>
    <row r="20" spans="1:13" ht="15.5" x14ac:dyDescent="0.35">
      <c r="A20" s="311"/>
      <c r="B20" s="319" t="s">
        <v>895</v>
      </c>
      <c r="C20" s="320"/>
      <c r="D20" s="321"/>
      <c r="E20" s="647">
        <f>SUM(E21:E31)</f>
        <v>1266181</v>
      </c>
      <c r="F20" s="648"/>
      <c r="G20" s="648"/>
      <c r="H20" s="648"/>
      <c r="I20" s="648"/>
      <c r="J20" s="648"/>
      <c r="K20" s="648"/>
      <c r="L20" s="648"/>
      <c r="M20" s="649"/>
    </row>
    <row r="21" spans="1:13" ht="15.5" x14ac:dyDescent="0.35">
      <c r="A21" s="311"/>
      <c r="B21" s="312" t="s">
        <v>894</v>
      </c>
      <c r="C21" s="312" t="s">
        <v>670</v>
      </c>
      <c r="D21" s="313">
        <v>1</v>
      </c>
      <c r="E21" s="314">
        <v>726000</v>
      </c>
      <c r="F21" s="315"/>
      <c r="G21" s="316"/>
      <c r="H21" s="322"/>
      <c r="I21" s="317"/>
      <c r="J21" s="317"/>
      <c r="K21" s="316"/>
      <c r="L21" s="318"/>
      <c r="M21" s="296"/>
    </row>
    <row r="22" spans="1:13" ht="30" x14ac:dyDescent="0.35">
      <c r="A22" s="311"/>
      <c r="B22" s="312" t="s">
        <v>893</v>
      </c>
      <c r="C22" s="312" t="s">
        <v>670</v>
      </c>
      <c r="D22" s="313">
        <v>1</v>
      </c>
      <c r="E22" s="314">
        <v>60500</v>
      </c>
      <c r="F22" s="315"/>
      <c r="G22" s="316"/>
      <c r="H22" s="322"/>
      <c r="I22" s="317"/>
      <c r="J22" s="317"/>
      <c r="K22" s="316"/>
      <c r="L22" s="318"/>
      <c r="M22" s="296"/>
    </row>
    <row r="23" spans="1:13" ht="60" x14ac:dyDescent="0.35">
      <c r="A23" s="165"/>
      <c r="B23" s="164" t="s">
        <v>892</v>
      </c>
      <c r="C23" s="164" t="s">
        <v>670</v>
      </c>
      <c r="D23" s="163">
        <v>1</v>
      </c>
      <c r="E23" s="162">
        <v>85000</v>
      </c>
      <c r="F23" s="161"/>
      <c r="G23" s="159"/>
      <c r="H23" s="166"/>
      <c r="I23" s="160"/>
      <c r="J23" s="160"/>
      <c r="K23" s="159"/>
      <c r="L23" s="158"/>
      <c r="M23" s="296"/>
    </row>
    <row r="24" spans="1:13" ht="45" x14ac:dyDescent="0.35">
      <c r="A24" s="297" t="s">
        <v>891</v>
      </c>
      <c r="B24" s="297" t="s">
        <v>891</v>
      </c>
      <c r="C24" s="297" t="s">
        <v>670</v>
      </c>
      <c r="D24" s="298">
        <v>1</v>
      </c>
      <c r="E24" s="299">
        <v>21780</v>
      </c>
      <c r="F24" s="300" t="s">
        <v>960</v>
      </c>
      <c r="G24" s="301" t="s">
        <v>959</v>
      </c>
      <c r="H24" s="302" t="s">
        <v>890</v>
      </c>
      <c r="I24" s="303">
        <v>18549.16</v>
      </c>
      <c r="J24" s="304">
        <v>737</v>
      </c>
      <c r="K24" s="301">
        <v>18549.16</v>
      </c>
      <c r="L24" s="305"/>
      <c r="M24" s="306"/>
    </row>
    <row r="25" spans="1:13" ht="45" x14ac:dyDescent="0.35">
      <c r="A25" s="297" t="s">
        <v>889</v>
      </c>
      <c r="B25" s="297" t="s">
        <v>889</v>
      </c>
      <c r="C25" s="297" t="s">
        <v>670</v>
      </c>
      <c r="D25" s="298">
        <v>1</v>
      </c>
      <c r="E25" s="299">
        <v>60500</v>
      </c>
      <c r="F25" s="300" t="s">
        <v>958</v>
      </c>
      <c r="G25" s="301" t="s">
        <v>957</v>
      </c>
      <c r="H25" s="307" t="s">
        <v>888</v>
      </c>
      <c r="I25" s="303">
        <v>37769.15</v>
      </c>
      <c r="J25" s="304">
        <v>395</v>
      </c>
      <c r="K25" s="301">
        <v>37769.15</v>
      </c>
      <c r="L25" s="305"/>
      <c r="M25" s="306"/>
    </row>
    <row r="26" spans="1:13" ht="15.5" x14ac:dyDescent="0.35">
      <c r="A26" s="165"/>
      <c r="B26" s="164" t="s">
        <v>887</v>
      </c>
      <c r="C26" s="164" t="s">
        <v>670</v>
      </c>
      <c r="D26" s="163">
        <v>3</v>
      </c>
      <c r="E26" s="162">
        <f>D26*3700</f>
        <v>11100</v>
      </c>
      <c r="F26" s="161"/>
      <c r="G26" s="159"/>
      <c r="H26" s="166"/>
      <c r="I26" s="160"/>
      <c r="J26" s="160"/>
      <c r="K26" s="159"/>
      <c r="L26" s="158"/>
      <c r="M26" s="296"/>
    </row>
    <row r="27" spans="1:13" ht="15.5" x14ac:dyDescent="0.35">
      <c r="A27" s="165"/>
      <c r="B27" s="164" t="s">
        <v>886</v>
      </c>
      <c r="C27" s="164" t="s">
        <v>670</v>
      </c>
      <c r="D27" s="163">
        <v>8</v>
      </c>
      <c r="E27" s="162">
        <f>D27*9000</f>
        <v>72000</v>
      </c>
      <c r="F27" s="161"/>
      <c r="G27" s="159"/>
      <c r="H27" s="166"/>
      <c r="I27" s="160"/>
      <c r="J27" s="160"/>
      <c r="K27" s="159"/>
      <c r="L27" s="158"/>
      <c r="M27" s="296"/>
    </row>
    <row r="28" spans="1:13" ht="30" x14ac:dyDescent="0.35">
      <c r="A28" s="165"/>
      <c r="B28" s="164" t="s">
        <v>885</v>
      </c>
      <c r="C28" s="164" t="s">
        <v>670</v>
      </c>
      <c r="D28" s="163">
        <v>5</v>
      </c>
      <c r="E28" s="170">
        <f>D28*4953-2</f>
        <v>24763</v>
      </c>
      <c r="F28" s="161"/>
      <c r="G28" s="159"/>
      <c r="H28" s="166"/>
      <c r="I28" s="160"/>
      <c r="J28" s="160"/>
      <c r="K28" s="159"/>
      <c r="L28" s="158"/>
      <c r="M28" s="296"/>
    </row>
    <row r="29" spans="1:13" ht="30" x14ac:dyDescent="0.35">
      <c r="A29" s="165"/>
      <c r="B29" s="164" t="s">
        <v>884</v>
      </c>
      <c r="C29" s="164" t="s">
        <v>670</v>
      </c>
      <c r="D29" s="163">
        <v>1</v>
      </c>
      <c r="E29" s="162">
        <v>3738</v>
      </c>
      <c r="F29" s="161"/>
      <c r="G29" s="159"/>
      <c r="H29" s="166"/>
      <c r="I29" s="160"/>
      <c r="J29" s="160"/>
      <c r="K29" s="159"/>
      <c r="L29" s="158"/>
      <c r="M29" s="296"/>
    </row>
    <row r="30" spans="1:13" ht="45" x14ac:dyDescent="0.35">
      <c r="A30" s="165"/>
      <c r="B30" s="164" t="s">
        <v>48</v>
      </c>
      <c r="C30" s="164" t="s">
        <v>670</v>
      </c>
      <c r="D30" s="163">
        <v>4</v>
      </c>
      <c r="E30" s="162">
        <f>D30*7200</f>
        <v>28800</v>
      </c>
      <c r="F30" s="161"/>
      <c r="G30" s="159"/>
      <c r="H30" s="166"/>
      <c r="I30" s="160"/>
      <c r="J30" s="160"/>
      <c r="K30" s="159"/>
      <c r="L30" s="158"/>
      <c r="M30" s="296"/>
    </row>
    <row r="31" spans="1:13" ht="15.5" x14ac:dyDescent="0.35">
      <c r="A31" s="311"/>
      <c r="B31" s="312" t="s">
        <v>883</v>
      </c>
      <c r="C31" s="312" t="s">
        <v>670</v>
      </c>
      <c r="D31" s="313">
        <v>40</v>
      </c>
      <c r="E31" s="314">
        <f>D31*4300</f>
        <v>172000</v>
      </c>
      <c r="F31" s="315"/>
      <c r="G31" s="316"/>
      <c r="H31" s="316"/>
      <c r="I31" s="317"/>
      <c r="J31" s="317"/>
      <c r="K31" s="316"/>
      <c r="L31" s="318"/>
      <c r="M31" s="296"/>
    </row>
    <row r="32" spans="1:13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15">
    <mergeCell ref="E9:F9"/>
    <mergeCell ref="G9:M9"/>
    <mergeCell ref="E20:F20"/>
    <mergeCell ref="G20:M20"/>
    <mergeCell ref="A4:M4"/>
    <mergeCell ref="A5:E5"/>
    <mergeCell ref="F5:M5"/>
    <mergeCell ref="A6:A7"/>
    <mergeCell ref="B6:B7"/>
    <mergeCell ref="D6:D7"/>
    <mergeCell ref="E6:E7"/>
    <mergeCell ref="F6:I6"/>
    <mergeCell ref="K6:L6"/>
    <mergeCell ref="C6:C7"/>
    <mergeCell ref="M6:M7"/>
  </mergeCells>
  <pageMargins left="0.7" right="0.7" top="0.75" bottom="0.75" header="0.3" footer="0.3"/>
  <pageSetup paperSize="9" scale="32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6F47-E8CE-4066-8517-67318F15CE24}">
  <sheetPr>
    <tabColor rgb="FF00B0F0"/>
  </sheetPr>
  <dimension ref="A1:N26"/>
  <sheetViews>
    <sheetView view="pageBreakPreview" zoomScale="60" zoomScaleNormal="70" workbookViewId="0">
      <selection activeCell="A9" sqref="A9:K9"/>
    </sheetView>
  </sheetViews>
  <sheetFormatPr defaultColWidth="9.1796875" defaultRowHeight="14" x14ac:dyDescent="0.35"/>
  <cols>
    <col min="1" max="1" width="24" style="4" customWidth="1"/>
    <col min="2" max="2" width="31" style="4" customWidth="1"/>
    <col min="3" max="3" width="22.81640625" style="4" customWidth="1"/>
    <col min="4" max="4" width="8.453125" style="4" customWidth="1"/>
    <col min="5" max="5" width="16.81640625" style="4" customWidth="1"/>
    <col min="6" max="6" width="14.1796875" style="4" customWidth="1"/>
    <col min="7" max="7" width="13.81640625" style="4" customWidth="1"/>
    <col min="8" max="8" width="21" style="4" customWidth="1"/>
    <col min="9" max="10" width="14.26953125" style="4" customWidth="1"/>
    <col min="11" max="11" width="13.453125" style="4" customWidth="1"/>
    <col min="12" max="12" width="14.1796875" style="4" customWidth="1"/>
    <col min="13" max="13" width="36.1796875" style="4" customWidth="1"/>
    <col min="14" max="14" width="23.81640625" style="76" customWidth="1"/>
    <col min="15" max="16" width="10" style="4" bestFit="1" customWidth="1"/>
    <col min="17" max="16384" width="9.1796875" style="4"/>
  </cols>
  <sheetData>
    <row r="1" spans="1:13" ht="15.5" x14ac:dyDescent="0.35">
      <c r="A1" s="1"/>
      <c r="B1" s="1"/>
      <c r="C1" s="1"/>
      <c r="D1" s="1"/>
      <c r="E1" s="1"/>
      <c r="F1" s="1"/>
      <c r="G1" s="1"/>
      <c r="H1" s="233"/>
      <c r="I1" s="1">
        <f>I10+I17</f>
        <v>5165.49</v>
      </c>
      <c r="J1" s="1"/>
      <c r="K1" s="1"/>
      <c r="L1" s="1"/>
      <c r="M1" s="2"/>
    </row>
    <row r="2" spans="1:13" ht="15.5" x14ac:dyDescent="0.35">
      <c r="A2" s="44" t="s">
        <v>423</v>
      </c>
      <c r="B2" s="1"/>
      <c r="C2" s="1"/>
      <c r="D2" s="1"/>
      <c r="E2" s="1"/>
      <c r="F2" s="1"/>
      <c r="G2" s="1"/>
      <c r="H2" s="260"/>
      <c r="I2" s="81">
        <f>I13+I14+I15</f>
        <v>3700.1800000000003</v>
      </c>
      <c r="J2" s="353">
        <f>Kopsavilkums!E11</f>
        <v>3701</v>
      </c>
      <c r="K2" s="1"/>
      <c r="L2" s="1"/>
      <c r="M2" s="2"/>
    </row>
    <row r="3" spans="1:13" ht="15.5" x14ac:dyDescent="0.35">
      <c r="A3" s="64"/>
      <c r="B3" s="1"/>
      <c r="C3" s="1"/>
      <c r="D3" s="1"/>
      <c r="E3" s="1"/>
      <c r="F3" s="1"/>
      <c r="G3" s="1"/>
      <c r="H3" s="351"/>
      <c r="I3" s="352">
        <f>I9+I11+I16+I18</f>
        <v>105752.79000000001</v>
      </c>
      <c r="J3" s="1"/>
      <c r="K3" s="1"/>
      <c r="L3" s="1"/>
      <c r="M3" s="2"/>
    </row>
    <row r="4" spans="1:13" ht="17.5" x14ac:dyDescent="0.35">
      <c r="A4" s="650" t="s">
        <v>4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</row>
    <row r="5" spans="1:13" ht="15" x14ac:dyDescent="0.35">
      <c r="A5" s="587" t="s">
        <v>567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</row>
    <row r="6" spans="1:13" ht="15.75" customHeight="1" x14ac:dyDescent="0.35">
      <c r="A6" s="590" t="s">
        <v>575</v>
      </c>
      <c r="B6" s="590" t="s">
        <v>133</v>
      </c>
      <c r="C6" s="590" t="s">
        <v>574</v>
      </c>
      <c r="D6" s="590" t="s">
        <v>6</v>
      </c>
      <c r="E6" s="590" t="s">
        <v>7</v>
      </c>
      <c r="F6" s="587" t="s">
        <v>568</v>
      </c>
      <c r="G6" s="588"/>
      <c r="H6" s="588"/>
      <c r="I6" s="589"/>
      <c r="J6" s="587" t="s">
        <v>571</v>
      </c>
      <c r="K6" s="588"/>
      <c r="L6" s="589"/>
      <c r="M6" s="590" t="s">
        <v>135</v>
      </c>
    </row>
    <row r="7" spans="1:13" ht="45.75" customHeight="1" x14ac:dyDescent="0.35">
      <c r="A7" s="591"/>
      <c r="B7" s="591"/>
      <c r="C7" s="591"/>
      <c r="D7" s="591"/>
      <c r="E7" s="591"/>
      <c r="F7" s="5" t="s">
        <v>8</v>
      </c>
      <c r="G7" s="5" t="s">
        <v>9</v>
      </c>
      <c r="H7" s="5" t="s">
        <v>10</v>
      </c>
      <c r="I7" s="5" t="s">
        <v>11</v>
      </c>
      <c r="J7" s="91" t="s">
        <v>659</v>
      </c>
      <c r="K7" s="5" t="s">
        <v>572</v>
      </c>
      <c r="L7" s="5" t="s">
        <v>573</v>
      </c>
      <c r="M7" s="591"/>
    </row>
    <row r="8" spans="1:13" ht="15" x14ac:dyDescent="0.35">
      <c r="A8" s="6"/>
      <c r="B8" s="7" t="s">
        <v>80</v>
      </c>
      <c r="C8" s="7"/>
      <c r="D8" s="7"/>
      <c r="E8" s="9">
        <f>SUM(E9:E18)</f>
        <v>111636</v>
      </c>
      <c r="F8" s="7" t="s">
        <v>80</v>
      </c>
      <c r="G8" s="7" t="s">
        <v>80</v>
      </c>
      <c r="H8" s="7" t="s">
        <v>80</v>
      </c>
      <c r="I8" s="46">
        <f>SUM(I9:I18)</f>
        <v>114618.45999999999</v>
      </c>
      <c r="J8" s="7"/>
      <c r="K8" s="46">
        <f>SUM(K9:K18)</f>
        <v>114618.45999999999</v>
      </c>
      <c r="L8" s="9"/>
      <c r="M8" s="7" t="s">
        <v>80</v>
      </c>
    </row>
    <row r="9" spans="1:13" ht="57.75" customHeight="1" x14ac:dyDescent="0.35">
      <c r="A9" s="546" t="s">
        <v>1067</v>
      </c>
      <c r="B9" s="571" t="s">
        <v>424</v>
      </c>
      <c r="C9" s="572" t="s">
        <v>670</v>
      </c>
      <c r="D9" s="573">
        <v>20</v>
      </c>
      <c r="E9" s="574">
        <v>48000</v>
      </c>
      <c r="F9" s="340" t="s">
        <v>953</v>
      </c>
      <c r="G9" s="341">
        <v>44403</v>
      </c>
      <c r="H9" s="340" t="s">
        <v>952</v>
      </c>
      <c r="I9" s="349">
        <f>(39800+(650+185)*20)*1.21</f>
        <v>68365</v>
      </c>
      <c r="J9" s="553" t="s">
        <v>951</v>
      </c>
      <c r="K9" s="342">
        <f>I9</f>
        <v>68365</v>
      </c>
      <c r="L9" s="459"/>
      <c r="M9" s="343"/>
    </row>
    <row r="10" spans="1:13" ht="62" x14ac:dyDescent="0.35">
      <c r="A10" s="552" t="s">
        <v>686</v>
      </c>
      <c r="B10" s="355" t="s">
        <v>425</v>
      </c>
      <c r="C10" s="356" t="s">
        <v>670</v>
      </c>
      <c r="D10" s="357">
        <v>4</v>
      </c>
      <c r="E10" s="358">
        <v>2400</v>
      </c>
      <c r="F10" s="354" t="s">
        <v>426</v>
      </c>
      <c r="G10" s="354" t="s">
        <v>53</v>
      </c>
      <c r="H10" s="354" t="s">
        <v>427</v>
      </c>
      <c r="I10" s="354">
        <f>(585+735)*1.21</f>
        <v>1597.2</v>
      </c>
      <c r="J10" s="554" t="s">
        <v>428</v>
      </c>
      <c r="K10" s="354">
        <f>(585+735)*1.21</f>
        <v>1597.2</v>
      </c>
      <c r="L10" s="354"/>
      <c r="M10" s="359"/>
    </row>
    <row r="11" spans="1:13" ht="31" x14ac:dyDescent="0.35">
      <c r="A11" s="551" t="s">
        <v>1069</v>
      </c>
      <c r="B11" s="344" t="s">
        <v>181</v>
      </c>
      <c r="C11" s="337" t="s">
        <v>670</v>
      </c>
      <c r="D11" s="338">
        <v>2</v>
      </c>
      <c r="E11" s="339">
        <v>3200</v>
      </c>
      <c r="F11" s="345" t="s">
        <v>955</v>
      </c>
      <c r="G11" s="346">
        <v>44377</v>
      </c>
      <c r="H11" s="345" t="s">
        <v>189</v>
      </c>
      <c r="I11" s="350">
        <f>2600*1.21</f>
        <v>3146</v>
      </c>
      <c r="J11" s="555" t="s">
        <v>954</v>
      </c>
      <c r="K11" s="347">
        <f>I11</f>
        <v>3146</v>
      </c>
      <c r="L11" s="345"/>
      <c r="M11" s="348"/>
    </row>
    <row r="12" spans="1:13" ht="28" x14ac:dyDescent="0.35">
      <c r="A12" s="26"/>
      <c r="B12" s="197" t="s">
        <v>184</v>
      </c>
      <c r="C12" s="194" t="s">
        <v>670</v>
      </c>
      <c r="D12" s="195">
        <v>2</v>
      </c>
      <c r="E12" s="196">
        <v>2406</v>
      </c>
      <c r="F12" s="8"/>
      <c r="G12" s="8"/>
      <c r="H12" s="27"/>
      <c r="I12" s="237"/>
      <c r="J12" s="556"/>
      <c r="K12" s="8"/>
      <c r="L12" s="8"/>
      <c r="M12" s="58"/>
    </row>
    <row r="13" spans="1:13" ht="46.5" x14ac:dyDescent="0.35">
      <c r="A13" s="332" t="s">
        <v>691</v>
      </c>
      <c r="B13" s="333" t="s">
        <v>682</v>
      </c>
      <c r="C13" s="329" t="s">
        <v>670</v>
      </c>
      <c r="D13" s="330">
        <v>10</v>
      </c>
      <c r="E13" s="331">
        <v>6000</v>
      </c>
      <c r="F13" s="327" t="s">
        <v>677</v>
      </c>
      <c r="G13" s="327" t="s">
        <v>447</v>
      </c>
      <c r="H13" s="327" t="s">
        <v>678</v>
      </c>
      <c r="I13" s="327">
        <v>2904</v>
      </c>
      <c r="J13" s="557" t="s">
        <v>679</v>
      </c>
      <c r="K13" s="327">
        <v>2904</v>
      </c>
      <c r="L13" s="327"/>
      <c r="M13" s="268" t="s">
        <v>1053</v>
      </c>
    </row>
    <row r="14" spans="1:13" ht="31" x14ac:dyDescent="0.35">
      <c r="A14" s="332" t="s">
        <v>690</v>
      </c>
      <c r="B14" s="328" t="s">
        <v>429</v>
      </c>
      <c r="C14" s="329" t="s">
        <v>670</v>
      </c>
      <c r="D14" s="330">
        <v>5</v>
      </c>
      <c r="E14" s="331">
        <v>2500</v>
      </c>
      <c r="F14" s="327" t="s">
        <v>680</v>
      </c>
      <c r="G14" s="327" t="s">
        <v>688</v>
      </c>
      <c r="H14" s="327" t="s">
        <v>678</v>
      </c>
      <c r="I14" s="327">
        <v>686.07</v>
      </c>
      <c r="J14" s="557" t="s">
        <v>681</v>
      </c>
      <c r="K14" s="327">
        <v>686.07</v>
      </c>
      <c r="L14" s="327"/>
      <c r="M14" s="268" t="s">
        <v>1053</v>
      </c>
    </row>
    <row r="15" spans="1:13" ht="31" x14ac:dyDescent="0.35">
      <c r="A15" s="332" t="s">
        <v>687</v>
      </c>
      <c r="B15" s="334" t="s">
        <v>430</v>
      </c>
      <c r="C15" s="329" t="s">
        <v>670</v>
      </c>
      <c r="D15" s="330">
        <v>2</v>
      </c>
      <c r="E15" s="331">
        <v>12000</v>
      </c>
      <c r="F15" s="327" t="s">
        <v>683</v>
      </c>
      <c r="G15" s="327" t="s">
        <v>689</v>
      </c>
      <c r="H15" s="327" t="s">
        <v>678</v>
      </c>
      <c r="I15" s="327">
        <v>110.11</v>
      </c>
      <c r="J15" s="557" t="s">
        <v>681</v>
      </c>
      <c r="K15" s="327">
        <v>110.11</v>
      </c>
      <c r="L15" s="327"/>
      <c r="M15" s="268" t="s">
        <v>1053</v>
      </c>
    </row>
    <row r="16" spans="1:13" ht="31" x14ac:dyDescent="0.35">
      <c r="A16" s="344" t="s">
        <v>1070</v>
      </c>
      <c r="B16" s="344" t="s">
        <v>431</v>
      </c>
      <c r="C16" s="337" t="s">
        <v>670</v>
      </c>
      <c r="D16" s="338">
        <v>1</v>
      </c>
      <c r="E16" s="339">
        <v>1500</v>
      </c>
      <c r="F16" s="345" t="s">
        <v>683</v>
      </c>
      <c r="G16" s="345" t="s">
        <v>950</v>
      </c>
      <c r="H16" s="345" t="s">
        <v>189</v>
      </c>
      <c r="I16" s="350">
        <f>91*1.21</f>
        <v>110.11</v>
      </c>
      <c r="J16" s="555" t="s">
        <v>681</v>
      </c>
      <c r="K16" s="347">
        <f>91*1.21</f>
        <v>110.11</v>
      </c>
      <c r="L16" s="345"/>
      <c r="M16" s="348"/>
    </row>
    <row r="17" spans="1:13" ht="28" x14ac:dyDescent="0.35">
      <c r="A17" s="552" t="s">
        <v>685</v>
      </c>
      <c r="B17" s="360" t="s">
        <v>432</v>
      </c>
      <c r="C17" s="356" t="s">
        <v>670</v>
      </c>
      <c r="D17" s="357">
        <v>6</v>
      </c>
      <c r="E17" s="358">
        <v>3630</v>
      </c>
      <c r="F17" s="236" t="s">
        <v>433</v>
      </c>
      <c r="G17" s="236" t="s">
        <v>434</v>
      </c>
      <c r="H17" s="236" t="s">
        <v>435</v>
      </c>
      <c r="I17" s="354">
        <v>3568.29</v>
      </c>
      <c r="J17" s="558" t="s">
        <v>436</v>
      </c>
      <c r="K17" s="236">
        <v>3568.29</v>
      </c>
      <c r="L17" s="236"/>
      <c r="M17" s="359"/>
    </row>
    <row r="18" spans="1:13" ht="28" x14ac:dyDescent="0.35">
      <c r="A18" s="344" t="s">
        <v>1068</v>
      </c>
      <c r="B18" s="344" t="s">
        <v>437</v>
      </c>
      <c r="C18" s="337" t="s">
        <v>670</v>
      </c>
      <c r="D18" s="338">
        <v>3</v>
      </c>
      <c r="E18" s="339">
        <v>30000</v>
      </c>
      <c r="F18" s="340" t="s">
        <v>949</v>
      </c>
      <c r="G18" s="340" t="s">
        <v>921</v>
      </c>
      <c r="H18" s="340" t="s">
        <v>435</v>
      </c>
      <c r="I18" s="349">
        <v>34131.68</v>
      </c>
      <c r="J18" s="553" t="s">
        <v>948</v>
      </c>
      <c r="K18" s="340">
        <v>34131.68</v>
      </c>
      <c r="L18" s="345"/>
      <c r="M18" s="348"/>
    </row>
    <row r="19" spans="1:13" ht="15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42.75" customHeight="1" x14ac:dyDescent="0.35">
      <c r="A20" s="655" t="s">
        <v>684</v>
      </c>
      <c r="B20" s="656"/>
      <c r="C20" s="656"/>
      <c r="D20" s="656"/>
      <c r="E20" s="656"/>
      <c r="F20" s="656"/>
      <c r="G20" s="656"/>
      <c r="H20" s="656"/>
      <c r="I20" s="656"/>
      <c r="J20" s="656"/>
      <c r="K20" s="656"/>
      <c r="L20" s="656"/>
      <c r="M20" s="657"/>
    </row>
    <row r="21" spans="1:13" ht="10.5" customHeight="1" x14ac:dyDescent="0.35">
      <c r="A21" s="658"/>
      <c r="B21" s="659"/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60"/>
    </row>
    <row r="25" spans="1:13" x14ac:dyDescent="0.35">
      <c r="A25" s="45"/>
    </row>
    <row r="26" spans="1:13" x14ac:dyDescent="0.35">
      <c r="A26" s="45"/>
    </row>
  </sheetData>
  <mergeCells count="12">
    <mergeCell ref="A20:M21"/>
    <mergeCell ref="A4:M4"/>
    <mergeCell ref="A5:E5"/>
    <mergeCell ref="F5:M5"/>
    <mergeCell ref="A6:A7"/>
    <mergeCell ref="B6:B7"/>
    <mergeCell ref="D6:D7"/>
    <mergeCell ref="E6:E7"/>
    <mergeCell ref="F6:I6"/>
    <mergeCell ref="M6:M7"/>
    <mergeCell ref="C6:C7"/>
    <mergeCell ref="J6:L6"/>
  </mergeCells>
  <pageMargins left="0.7" right="0.7" top="0.75" bottom="0.75" header="0.3" footer="0.3"/>
  <pageSetup paperSize="9" scale="35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84A2-49AD-463A-A355-60F402856BEE}">
  <sheetPr>
    <tabColor rgb="FF00B0F0"/>
  </sheetPr>
  <dimension ref="A1:M76"/>
  <sheetViews>
    <sheetView view="pageBreakPreview" topLeftCell="A40" zoomScale="60" zoomScaleNormal="70" workbookViewId="0">
      <selection activeCell="H62" sqref="H62"/>
    </sheetView>
  </sheetViews>
  <sheetFormatPr defaultColWidth="9.1796875" defaultRowHeight="14" x14ac:dyDescent="0.35"/>
  <cols>
    <col min="1" max="1" width="33.1796875" style="4" customWidth="1"/>
    <col min="2" max="2" width="35.453125" style="4" customWidth="1"/>
    <col min="3" max="3" width="21" style="4" customWidth="1"/>
    <col min="4" max="4" width="14.26953125" style="4" customWidth="1"/>
    <col min="5" max="5" width="16.81640625" style="4" customWidth="1"/>
    <col min="6" max="6" width="15.54296875" style="4" customWidth="1"/>
    <col min="7" max="7" width="14.1796875" style="4" customWidth="1"/>
    <col min="8" max="8" width="21" style="4" customWidth="1"/>
    <col min="9" max="10" width="16.1796875" style="39" customWidth="1"/>
    <col min="11" max="11" width="22.26953125" style="4" customWidth="1"/>
    <col min="12" max="12" width="15" style="4" customWidth="1"/>
    <col min="13" max="13" width="37.81640625" style="4" customWidth="1"/>
    <col min="14" max="16384" width="9.1796875" style="4"/>
  </cols>
  <sheetData>
    <row r="1" spans="1:13" ht="15.5" x14ac:dyDescent="0.35">
      <c r="A1" s="1"/>
      <c r="B1" s="1"/>
      <c r="C1" s="1"/>
      <c r="D1" s="1"/>
      <c r="E1" s="1"/>
      <c r="F1" s="1"/>
      <c r="G1" s="1"/>
      <c r="H1" s="1"/>
      <c r="I1" s="32"/>
      <c r="J1" s="32"/>
      <c r="K1" s="1"/>
      <c r="L1" s="1"/>
      <c r="M1" s="2"/>
    </row>
    <row r="2" spans="1:13" ht="15.5" x14ac:dyDescent="0.35">
      <c r="A2" s="33" t="s">
        <v>187</v>
      </c>
      <c r="B2" s="1"/>
      <c r="C2" s="1"/>
      <c r="D2" s="1"/>
      <c r="E2" s="1"/>
      <c r="F2" s="1"/>
      <c r="G2" s="1"/>
      <c r="H2" s="351"/>
      <c r="I2" s="39">
        <f>I12+I13+I14+I15+I27+I29+I31+I32+I35+I37+I38+I39+I43+I44+I49+I51+I53+I59+I60+I61+I62</f>
        <v>934963.24199999985</v>
      </c>
      <c r="K2" s="1"/>
      <c r="L2" s="82"/>
      <c r="M2" s="2"/>
    </row>
    <row r="3" spans="1:13" ht="15.5" x14ac:dyDescent="0.35">
      <c r="A3" s="1"/>
      <c r="B3" s="1"/>
      <c r="C3" s="1"/>
      <c r="D3" s="1"/>
      <c r="E3" s="1"/>
      <c r="F3" s="1"/>
      <c r="G3" s="1"/>
      <c r="H3" s="260"/>
      <c r="I3" s="32">
        <f>I10+I11+I16+I17+I18+I19+I20+I21+I23+I22+I26+I28+I30+I33+I34+I36+I40+I41+I42+I45+I46+I48+I52+I54+I55+I56+I57+I58+I63+I64</f>
        <v>443233.45199999987</v>
      </c>
      <c r="J3" s="32"/>
      <c r="K3" s="1"/>
      <c r="L3" s="1"/>
      <c r="M3" s="2"/>
    </row>
    <row r="4" spans="1:13" ht="36.75" customHeight="1" x14ac:dyDescent="0.35">
      <c r="A4" s="650" t="s">
        <v>4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</row>
    <row r="5" spans="1:13" ht="35.25" customHeight="1" x14ac:dyDescent="0.35">
      <c r="A5" s="587" t="s">
        <v>567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</row>
    <row r="6" spans="1:13" ht="43.5" customHeight="1" x14ac:dyDescent="0.35">
      <c r="A6" s="590" t="s">
        <v>575</v>
      </c>
      <c r="B6" s="590" t="s">
        <v>133</v>
      </c>
      <c r="C6" s="590" t="s">
        <v>574</v>
      </c>
      <c r="D6" s="590" t="s">
        <v>6</v>
      </c>
      <c r="E6" s="590" t="s">
        <v>7</v>
      </c>
      <c r="F6" s="587" t="s">
        <v>568</v>
      </c>
      <c r="G6" s="588"/>
      <c r="H6" s="588"/>
      <c r="I6" s="589"/>
      <c r="J6" s="587" t="s">
        <v>571</v>
      </c>
      <c r="K6" s="588"/>
      <c r="L6" s="589"/>
      <c r="M6" s="590" t="s">
        <v>135</v>
      </c>
    </row>
    <row r="7" spans="1:13" ht="33" customHeight="1" x14ac:dyDescent="0.35">
      <c r="A7" s="591"/>
      <c r="B7" s="591"/>
      <c r="C7" s="591"/>
      <c r="D7" s="591"/>
      <c r="E7" s="591"/>
      <c r="F7" s="5" t="s">
        <v>8</v>
      </c>
      <c r="G7" s="5" t="s">
        <v>9</v>
      </c>
      <c r="H7" s="5" t="s">
        <v>10</v>
      </c>
      <c r="I7" s="83" t="s">
        <v>11</v>
      </c>
      <c r="J7" s="91" t="s">
        <v>659</v>
      </c>
      <c r="K7" s="5" t="s">
        <v>572</v>
      </c>
      <c r="L7" s="5" t="s">
        <v>573</v>
      </c>
      <c r="M7" s="591"/>
    </row>
    <row r="8" spans="1:13" ht="39" customHeight="1" x14ac:dyDescent="0.35">
      <c r="A8" s="6"/>
      <c r="B8" s="7" t="s">
        <v>80</v>
      </c>
      <c r="C8" s="7"/>
      <c r="D8" s="7">
        <f>SUM(D9:D64)</f>
        <v>650</v>
      </c>
      <c r="E8" s="34">
        <f>SUM(E9:E64)+1</f>
        <v>1381747</v>
      </c>
      <c r="F8" s="7" t="s">
        <v>80</v>
      </c>
      <c r="G8" s="7" t="s">
        <v>80</v>
      </c>
      <c r="H8" s="7" t="s">
        <v>80</v>
      </c>
      <c r="I8" s="34">
        <f>SUM(I9:I64)</f>
        <v>1378196.6940000001</v>
      </c>
      <c r="J8" s="34"/>
      <c r="K8" s="35">
        <f>SUM(K10:K64)</f>
        <v>1378196.6940000001</v>
      </c>
      <c r="L8" s="35"/>
      <c r="M8" s="7" t="s">
        <v>80</v>
      </c>
    </row>
    <row r="9" spans="1:13" ht="15.5" x14ac:dyDescent="0.3">
      <c r="A9" s="37" t="s">
        <v>95</v>
      </c>
      <c r="B9" s="8"/>
      <c r="C9" s="8"/>
      <c r="D9" s="8"/>
      <c r="E9" s="8"/>
      <c r="F9" s="8"/>
      <c r="G9" s="8"/>
      <c r="H9" s="8"/>
      <c r="I9" s="38"/>
      <c r="J9" s="38"/>
      <c r="K9" s="8"/>
      <c r="L9" s="8"/>
      <c r="M9" s="8"/>
    </row>
    <row r="10" spans="1:13" ht="31.5" customHeight="1" x14ac:dyDescent="0.35">
      <c r="A10" s="332" t="s">
        <v>711</v>
      </c>
      <c r="B10" s="335" t="s">
        <v>188</v>
      </c>
      <c r="C10" s="335" t="s">
        <v>670</v>
      </c>
      <c r="D10" s="335">
        <v>1</v>
      </c>
      <c r="E10" s="361">
        <v>5500</v>
      </c>
      <c r="F10" s="362" t="s">
        <v>553</v>
      </c>
      <c r="G10" s="363">
        <v>44293</v>
      </c>
      <c r="H10" s="362" t="s">
        <v>189</v>
      </c>
      <c r="I10" s="364">
        <v>4598</v>
      </c>
      <c r="J10" s="365">
        <v>1146</v>
      </c>
      <c r="K10" s="366">
        <f>I10</f>
        <v>4598</v>
      </c>
      <c r="L10" s="366"/>
      <c r="M10" s="268" t="s">
        <v>1053</v>
      </c>
    </row>
    <row r="11" spans="1:13" ht="39" customHeight="1" x14ac:dyDescent="0.35">
      <c r="A11" s="335" t="s">
        <v>725</v>
      </c>
      <c r="B11" s="335" t="s">
        <v>694</v>
      </c>
      <c r="C11" s="335" t="s">
        <v>670</v>
      </c>
      <c r="D11" s="335">
        <v>2</v>
      </c>
      <c r="E11" s="361">
        <v>3630</v>
      </c>
      <c r="F11" s="362" t="s">
        <v>692</v>
      </c>
      <c r="G11" s="363">
        <v>44334</v>
      </c>
      <c r="H11" s="362" t="s">
        <v>190</v>
      </c>
      <c r="I11" s="364">
        <f>1499*2*1.21</f>
        <v>3627.58</v>
      </c>
      <c r="J11" s="365">
        <v>726</v>
      </c>
      <c r="K11" s="366">
        <f>I11</f>
        <v>3627.58</v>
      </c>
      <c r="L11" s="362"/>
      <c r="M11" s="268" t="s">
        <v>1053</v>
      </c>
    </row>
    <row r="12" spans="1:13" ht="31" x14ac:dyDescent="0.35">
      <c r="A12" s="345" t="s">
        <v>1073</v>
      </c>
      <c r="B12" s="345" t="s">
        <v>191</v>
      </c>
      <c r="C12" s="345" t="s">
        <v>670</v>
      </c>
      <c r="D12" s="345">
        <v>1</v>
      </c>
      <c r="E12" s="378">
        <v>45000</v>
      </c>
      <c r="F12" s="340" t="s">
        <v>963</v>
      </c>
      <c r="G12" s="341">
        <v>44315</v>
      </c>
      <c r="H12" s="340" t="s">
        <v>189</v>
      </c>
      <c r="I12" s="379">
        <v>44927.3</v>
      </c>
      <c r="J12" s="661">
        <v>789</v>
      </c>
      <c r="K12" s="380">
        <f>ROUND(37130*1.21,2)</f>
        <v>44927.3</v>
      </c>
      <c r="L12" s="664"/>
      <c r="M12" s="381"/>
    </row>
    <row r="13" spans="1:13" ht="31" x14ac:dyDescent="0.35">
      <c r="A13" s="345" t="s">
        <v>1073</v>
      </c>
      <c r="B13" s="345" t="s">
        <v>192</v>
      </c>
      <c r="C13" s="345" t="s">
        <v>670</v>
      </c>
      <c r="D13" s="345">
        <v>1</v>
      </c>
      <c r="E13" s="378">
        <v>79485</v>
      </c>
      <c r="F13" s="340" t="s">
        <v>963</v>
      </c>
      <c r="G13" s="341">
        <v>44315</v>
      </c>
      <c r="H13" s="340" t="s">
        <v>189</v>
      </c>
      <c r="I13" s="379">
        <v>79339.7</v>
      </c>
      <c r="J13" s="662"/>
      <c r="K13" s="380">
        <f>ROUND(65570*1.21,2)</f>
        <v>79339.7</v>
      </c>
      <c r="L13" s="665"/>
      <c r="M13" s="381"/>
    </row>
    <row r="14" spans="1:13" ht="31" x14ac:dyDescent="0.35">
      <c r="A14" s="345" t="s">
        <v>1073</v>
      </c>
      <c r="B14" s="345" t="s">
        <v>193</v>
      </c>
      <c r="C14" s="345" t="s">
        <v>670</v>
      </c>
      <c r="D14" s="345">
        <v>1</v>
      </c>
      <c r="E14" s="378">
        <v>32000</v>
      </c>
      <c r="F14" s="340" t="s">
        <v>963</v>
      </c>
      <c r="G14" s="341">
        <v>44315</v>
      </c>
      <c r="H14" s="340" t="s">
        <v>189</v>
      </c>
      <c r="I14" s="379">
        <v>31993.61</v>
      </c>
      <c r="J14" s="662"/>
      <c r="K14" s="380">
        <f>ROUND(26441*1.21,2)</f>
        <v>31993.61</v>
      </c>
      <c r="L14" s="665"/>
      <c r="M14" s="381"/>
    </row>
    <row r="15" spans="1:13" ht="31" x14ac:dyDescent="0.35">
      <c r="A15" s="345" t="s">
        <v>1072</v>
      </c>
      <c r="B15" s="345" t="s">
        <v>194</v>
      </c>
      <c r="C15" s="345" t="s">
        <v>670</v>
      </c>
      <c r="D15" s="345">
        <v>6</v>
      </c>
      <c r="E15" s="378">
        <v>30000</v>
      </c>
      <c r="F15" s="340" t="s">
        <v>963</v>
      </c>
      <c r="G15" s="341">
        <v>44315</v>
      </c>
      <c r="H15" s="340" t="s">
        <v>189</v>
      </c>
      <c r="I15" s="379">
        <v>29983.8</v>
      </c>
      <c r="J15" s="663"/>
      <c r="K15" s="380">
        <f>ROUND(24780*1.21,2)</f>
        <v>29983.8</v>
      </c>
      <c r="L15" s="666"/>
      <c r="M15" s="381"/>
    </row>
    <row r="16" spans="1:13" ht="39" customHeight="1" x14ac:dyDescent="0.35">
      <c r="A16" s="335" t="s">
        <v>724</v>
      </c>
      <c r="B16" s="335" t="s">
        <v>195</v>
      </c>
      <c r="C16" s="335" t="s">
        <v>670</v>
      </c>
      <c r="D16" s="335">
        <v>26</v>
      </c>
      <c r="E16" s="361">
        <v>54600</v>
      </c>
      <c r="F16" s="362" t="s">
        <v>693</v>
      </c>
      <c r="G16" s="363">
        <v>44322</v>
      </c>
      <c r="H16" s="362" t="s">
        <v>190</v>
      </c>
      <c r="I16" s="364">
        <f>1735*26*1.21</f>
        <v>54583.1</v>
      </c>
      <c r="J16" s="365">
        <v>1709</v>
      </c>
      <c r="K16" s="364">
        <f>I16</f>
        <v>54583.1</v>
      </c>
      <c r="L16" s="367"/>
      <c r="M16" s="268" t="s">
        <v>1053</v>
      </c>
    </row>
    <row r="17" spans="1:13" ht="28" x14ac:dyDescent="0.35">
      <c r="A17" s="335" t="s">
        <v>718</v>
      </c>
      <c r="B17" s="335" t="s">
        <v>196</v>
      </c>
      <c r="C17" s="335" t="s">
        <v>670</v>
      </c>
      <c r="D17" s="335">
        <v>26</v>
      </c>
      <c r="E17" s="361">
        <v>16900</v>
      </c>
      <c r="F17" s="362" t="s">
        <v>554</v>
      </c>
      <c r="G17" s="363">
        <v>44292</v>
      </c>
      <c r="H17" s="362" t="s">
        <v>197</v>
      </c>
      <c r="I17" s="364">
        <f>535*26*1.21</f>
        <v>16831.099999999999</v>
      </c>
      <c r="J17" s="365">
        <v>1148</v>
      </c>
      <c r="K17" s="364">
        <f t="shared" ref="K17:K19" si="0">I17</f>
        <v>16831.099999999999</v>
      </c>
      <c r="L17" s="366"/>
      <c r="M17" s="268" t="s">
        <v>1053</v>
      </c>
    </row>
    <row r="18" spans="1:13" ht="28" x14ac:dyDescent="0.35">
      <c r="A18" s="335" t="s">
        <v>723</v>
      </c>
      <c r="B18" s="335" t="s">
        <v>198</v>
      </c>
      <c r="C18" s="335" t="s">
        <v>670</v>
      </c>
      <c r="D18" s="335">
        <v>12</v>
      </c>
      <c r="E18" s="361">
        <v>1200</v>
      </c>
      <c r="F18" s="362" t="s">
        <v>555</v>
      </c>
      <c r="G18" s="363">
        <v>44316</v>
      </c>
      <c r="H18" s="362" t="s">
        <v>199</v>
      </c>
      <c r="I18" s="364">
        <f>1080*1.21</f>
        <v>1306.8</v>
      </c>
      <c r="J18" s="365">
        <v>1534</v>
      </c>
      <c r="K18" s="364">
        <f t="shared" si="0"/>
        <v>1306.8</v>
      </c>
      <c r="L18" s="366"/>
      <c r="M18" s="268" t="s">
        <v>1053</v>
      </c>
    </row>
    <row r="19" spans="1:13" ht="46.5" customHeight="1" x14ac:dyDescent="0.35">
      <c r="A19" s="335" t="s">
        <v>714</v>
      </c>
      <c r="B19" s="335" t="s">
        <v>200</v>
      </c>
      <c r="C19" s="335" t="s">
        <v>670</v>
      </c>
      <c r="D19" s="335">
        <v>3</v>
      </c>
      <c r="E19" s="361">
        <v>2553</v>
      </c>
      <c r="F19" s="362" t="s">
        <v>556</v>
      </c>
      <c r="G19" s="363">
        <v>44308</v>
      </c>
      <c r="H19" s="362" t="s">
        <v>201</v>
      </c>
      <c r="I19" s="364">
        <f>2110.2*1.21</f>
        <v>2553.3419999999996</v>
      </c>
      <c r="J19" s="365">
        <v>626</v>
      </c>
      <c r="K19" s="364">
        <f t="shared" si="0"/>
        <v>2553.3419999999996</v>
      </c>
      <c r="L19" s="366"/>
      <c r="M19" s="268" t="s">
        <v>1053</v>
      </c>
    </row>
    <row r="20" spans="1:13" ht="27" customHeight="1" x14ac:dyDescent="0.35">
      <c r="A20" s="335" t="s">
        <v>722</v>
      </c>
      <c r="B20" s="335" t="s">
        <v>202</v>
      </c>
      <c r="C20" s="335" t="s">
        <v>670</v>
      </c>
      <c r="D20" s="335">
        <v>1</v>
      </c>
      <c r="E20" s="361">
        <v>18005</v>
      </c>
      <c r="F20" s="675" t="s">
        <v>695</v>
      </c>
      <c r="G20" s="678">
        <v>44337</v>
      </c>
      <c r="H20" s="362" t="s">
        <v>201</v>
      </c>
      <c r="I20" s="364">
        <v>18006.009999999998</v>
      </c>
      <c r="J20" s="687">
        <v>1940</v>
      </c>
      <c r="K20" s="681">
        <v>28601.98</v>
      </c>
      <c r="L20" s="684"/>
      <c r="M20" s="268" t="s">
        <v>1053</v>
      </c>
    </row>
    <row r="21" spans="1:13" ht="28" x14ac:dyDescent="0.35">
      <c r="A21" s="335" t="s">
        <v>722</v>
      </c>
      <c r="B21" s="335" t="s">
        <v>203</v>
      </c>
      <c r="C21" s="335" t="s">
        <v>670</v>
      </c>
      <c r="D21" s="335">
        <v>1</v>
      </c>
      <c r="E21" s="361">
        <v>7460</v>
      </c>
      <c r="F21" s="676"/>
      <c r="G21" s="679"/>
      <c r="H21" s="362" t="s">
        <v>201</v>
      </c>
      <c r="I21" s="364">
        <v>7460.86</v>
      </c>
      <c r="J21" s="688"/>
      <c r="K21" s="682"/>
      <c r="L21" s="685"/>
      <c r="M21" s="268" t="s">
        <v>1053</v>
      </c>
    </row>
    <row r="22" spans="1:13" ht="31" x14ac:dyDescent="0.35">
      <c r="A22" s="335" t="s">
        <v>722</v>
      </c>
      <c r="B22" s="335" t="s">
        <v>204</v>
      </c>
      <c r="C22" s="335" t="s">
        <v>670</v>
      </c>
      <c r="D22" s="335">
        <v>1</v>
      </c>
      <c r="E22" s="361">
        <v>3135</v>
      </c>
      <c r="F22" s="677"/>
      <c r="G22" s="680"/>
      <c r="H22" s="362" t="s">
        <v>201</v>
      </c>
      <c r="I22" s="364">
        <f>3135.11</f>
        <v>3135.11</v>
      </c>
      <c r="J22" s="689"/>
      <c r="K22" s="683"/>
      <c r="L22" s="686"/>
      <c r="M22" s="268" t="s">
        <v>1053</v>
      </c>
    </row>
    <row r="23" spans="1:13" ht="36.75" customHeight="1" x14ac:dyDescent="0.35">
      <c r="A23" s="332" t="s">
        <v>707</v>
      </c>
      <c r="B23" s="691" t="s">
        <v>205</v>
      </c>
      <c r="C23" s="276" t="s">
        <v>670</v>
      </c>
      <c r="D23" s="691">
        <v>300</v>
      </c>
      <c r="E23" s="694">
        <v>30000</v>
      </c>
      <c r="F23" s="368" t="s">
        <v>206</v>
      </c>
      <c r="G23" s="369">
        <v>44274</v>
      </c>
      <c r="H23" s="370" t="s">
        <v>207</v>
      </c>
      <c r="I23" s="681">
        <f>(3.8+2.5+13.5+24+8.6+10.5+12+2.8+4)*300*1.21</f>
        <v>29657.1</v>
      </c>
      <c r="J23" s="371">
        <v>800</v>
      </c>
      <c r="K23" s="372">
        <v>8022.3</v>
      </c>
      <c r="L23" s="373"/>
      <c r="M23" s="268" t="s">
        <v>1053</v>
      </c>
    </row>
    <row r="24" spans="1:13" ht="28" x14ac:dyDescent="0.35">
      <c r="A24" s="332" t="s">
        <v>708</v>
      </c>
      <c r="B24" s="692"/>
      <c r="C24" s="335" t="s">
        <v>670</v>
      </c>
      <c r="D24" s="692"/>
      <c r="E24" s="695"/>
      <c r="F24" s="368" t="s">
        <v>208</v>
      </c>
      <c r="G24" s="369">
        <v>44277</v>
      </c>
      <c r="H24" s="370" t="s">
        <v>207</v>
      </c>
      <c r="I24" s="682"/>
      <c r="J24" s="371">
        <v>817</v>
      </c>
      <c r="K24" s="372">
        <v>8712</v>
      </c>
      <c r="L24" s="373"/>
      <c r="M24" s="268" t="s">
        <v>1053</v>
      </c>
    </row>
    <row r="25" spans="1:13" ht="48" customHeight="1" x14ac:dyDescent="0.35">
      <c r="A25" s="332" t="s">
        <v>717</v>
      </c>
      <c r="B25" s="693"/>
      <c r="C25" s="335" t="s">
        <v>670</v>
      </c>
      <c r="D25" s="693"/>
      <c r="E25" s="696"/>
      <c r="F25" s="368" t="s">
        <v>557</v>
      </c>
      <c r="G25" s="369">
        <v>44302</v>
      </c>
      <c r="H25" s="370" t="s">
        <v>207</v>
      </c>
      <c r="I25" s="683"/>
      <c r="J25" s="371">
        <v>1369</v>
      </c>
      <c r="K25" s="372">
        <v>12922.8</v>
      </c>
      <c r="L25" s="373"/>
      <c r="M25" s="268" t="s">
        <v>1053</v>
      </c>
    </row>
    <row r="26" spans="1:13" ht="38.25" customHeight="1" x14ac:dyDescent="0.35">
      <c r="A26" s="332" t="s">
        <v>706</v>
      </c>
      <c r="B26" s="335" t="s">
        <v>209</v>
      </c>
      <c r="C26" s="335" t="s">
        <v>670</v>
      </c>
      <c r="D26" s="335">
        <v>20</v>
      </c>
      <c r="E26" s="361">
        <v>8000</v>
      </c>
      <c r="F26" s="362" t="s">
        <v>210</v>
      </c>
      <c r="G26" s="374">
        <v>44284</v>
      </c>
      <c r="H26" s="362" t="s">
        <v>189</v>
      </c>
      <c r="I26" s="364">
        <v>8228</v>
      </c>
      <c r="J26" s="365">
        <v>934</v>
      </c>
      <c r="K26" s="366">
        <f>I26</f>
        <v>8228</v>
      </c>
      <c r="L26" s="366"/>
      <c r="M26" s="268" t="s">
        <v>1053</v>
      </c>
    </row>
    <row r="27" spans="1:13" ht="31" x14ac:dyDescent="0.35">
      <c r="A27" s="345" t="s">
        <v>1076</v>
      </c>
      <c r="B27" s="345" t="s">
        <v>211</v>
      </c>
      <c r="C27" s="345" t="s">
        <v>670</v>
      </c>
      <c r="D27" s="345">
        <v>10</v>
      </c>
      <c r="E27" s="378">
        <v>1900</v>
      </c>
      <c r="F27" s="345" t="s">
        <v>975</v>
      </c>
      <c r="G27" s="346">
        <v>44350</v>
      </c>
      <c r="H27" s="345" t="s">
        <v>218</v>
      </c>
      <c r="I27" s="382">
        <v>1270.5</v>
      </c>
      <c r="J27" s="345">
        <v>2028</v>
      </c>
      <c r="K27" s="383">
        <v>1270.5</v>
      </c>
      <c r="L27" s="381"/>
      <c r="M27" s="381"/>
    </row>
    <row r="28" spans="1:13" ht="28" x14ac:dyDescent="0.35">
      <c r="A28" s="335" t="s">
        <v>212</v>
      </c>
      <c r="B28" s="335" t="s">
        <v>212</v>
      </c>
      <c r="C28" s="335" t="s">
        <v>670</v>
      </c>
      <c r="D28" s="335">
        <v>60</v>
      </c>
      <c r="E28" s="361">
        <v>5760</v>
      </c>
      <c r="F28" s="362" t="s">
        <v>696</v>
      </c>
      <c r="G28" s="363">
        <v>44341</v>
      </c>
      <c r="H28" s="362" t="s">
        <v>190</v>
      </c>
      <c r="I28" s="375">
        <v>4936.8</v>
      </c>
      <c r="J28" s="376">
        <v>1919</v>
      </c>
      <c r="K28" s="366">
        <f>I28</f>
        <v>4936.8</v>
      </c>
      <c r="L28" s="366"/>
      <c r="M28" s="268" t="s">
        <v>1053</v>
      </c>
    </row>
    <row r="29" spans="1:13" ht="31" x14ac:dyDescent="0.35">
      <c r="A29" s="345" t="s">
        <v>1071</v>
      </c>
      <c r="B29" s="345" t="s">
        <v>213</v>
      </c>
      <c r="C29" s="345" t="s">
        <v>670</v>
      </c>
      <c r="D29" s="345">
        <v>3</v>
      </c>
      <c r="E29" s="378">
        <v>3600</v>
      </c>
      <c r="F29" s="381" t="s">
        <v>556</v>
      </c>
      <c r="G29" s="384">
        <v>44308</v>
      </c>
      <c r="H29" s="381" t="s">
        <v>201</v>
      </c>
      <c r="I29" s="385">
        <f>1027.4*3*1.21</f>
        <v>3729.4620000000004</v>
      </c>
      <c r="J29" s="386">
        <v>626</v>
      </c>
      <c r="K29" s="387">
        <f>I29</f>
        <v>3729.4620000000004</v>
      </c>
      <c r="L29" s="387"/>
      <c r="M29" s="381"/>
    </row>
    <row r="30" spans="1:13" ht="28" x14ac:dyDescent="0.35">
      <c r="A30" s="335" t="s">
        <v>716</v>
      </c>
      <c r="B30" s="335" t="s">
        <v>214</v>
      </c>
      <c r="C30" s="335" t="s">
        <v>670</v>
      </c>
      <c r="D30" s="335">
        <v>20</v>
      </c>
      <c r="E30" s="361">
        <v>1000</v>
      </c>
      <c r="F30" s="363" t="s">
        <v>215</v>
      </c>
      <c r="G30" s="363">
        <v>44274</v>
      </c>
      <c r="H30" s="362" t="s">
        <v>207</v>
      </c>
      <c r="I30" s="364">
        <v>999.46</v>
      </c>
      <c r="J30" s="365">
        <v>818</v>
      </c>
      <c r="K30" s="366">
        <f>I30</f>
        <v>999.46</v>
      </c>
      <c r="L30" s="366"/>
      <c r="M30" s="268" t="s">
        <v>1053</v>
      </c>
    </row>
    <row r="31" spans="1:13" ht="15.5" x14ac:dyDescent="0.35">
      <c r="A31" s="345" t="s">
        <v>1075</v>
      </c>
      <c r="B31" s="345" t="s">
        <v>216</v>
      </c>
      <c r="C31" s="345" t="s">
        <v>670</v>
      </c>
      <c r="D31" s="345">
        <v>10</v>
      </c>
      <c r="E31" s="378">
        <v>1700</v>
      </c>
      <c r="F31" s="381" t="s">
        <v>975</v>
      </c>
      <c r="G31" s="346">
        <v>44350</v>
      </c>
      <c r="H31" s="381" t="s">
        <v>218</v>
      </c>
      <c r="I31" s="385">
        <v>1234.2</v>
      </c>
      <c r="J31" s="386">
        <v>2028</v>
      </c>
      <c r="K31" s="381">
        <v>1234.2</v>
      </c>
      <c r="L31" s="381"/>
      <c r="M31" s="381"/>
    </row>
    <row r="32" spans="1:13" ht="31" x14ac:dyDescent="0.35">
      <c r="A32" s="345" t="s">
        <v>1074</v>
      </c>
      <c r="B32" s="345" t="s">
        <v>217</v>
      </c>
      <c r="C32" s="345" t="s">
        <v>670</v>
      </c>
      <c r="D32" s="345">
        <v>10</v>
      </c>
      <c r="E32" s="378">
        <v>1280</v>
      </c>
      <c r="F32" s="381" t="s">
        <v>974</v>
      </c>
      <c r="G32" s="346">
        <v>44350</v>
      </c>
      <c r="H32" s="381" t="s">
        <v>218</v>
      </c>
      <c r="I32" s="385">
        <v>1000.05</v>
      </c>
      <c r="J32" s="386">
        <v>2028</v>
      </c>
      <c r="K32" s="381">
        <v>1000.05</v>
      </c>
      <c r="L32" s="381"/>
      <c r="M32" s="381"/>
    </row>
    <row r="33" spans="1:13" ht="31" x14ac:dyDescent="0.35">
      <c r="A33" s="335" t="s">
        <v>705</v>
      </c>
      <c r="B33" s="335" t="s">
        <v>219</v>
      </c>
      <c r="C33" s="335" t="s">
        <v>670</v>
      </c>
      <c r="D33" s="335">
        <v>10</v>
      </c>
      <c r="E33" s="361">
        <v>1650</v>
      </c>
      <c r="F33" s="362" t="s">
        <v>220</v>
      </c>
      <c r="G33" s="363">
        <v>44281</v>
      </c>
      <c r="H33" s="362" t="s">
        <v>221</v>
      </c>
      <c r="I33" s="364">
        <v>1633.5</v>
      </c>
      <c r="J33" s="365">
        <v>933</v>
      </c>
      <c r="K33" s="366">
        <f>I33</f>
        <v>1633.5</v>
      </c>
      <c r="L33" s="366"/>
      <c r="M33" s="268" t="s">
        <v>1053</v>
      </c>
    </row>
    <row r="34" spans="1:13" ht="28" x14ac:dyDescent="0.35">
      <c r="A34" s="335" t="s">
        <v>709</v>
      </c>
      <c r="B34" s="335" t="s">
        <v>222</v>
      </c>
      <c r="C34" s="335" t="s">
        <v>670</v>
      </c>
      <c r="D34" s="335">
        <v>3</v>
      </c>
      <c r="E34" s="361">
        <v>1470</v>
      </c>
      <c r="F34" s="362" t="s">
        <v>223</v>
      </c>
      <c r="G34" s="363">
        <v>44278</v>
      </c>
      <c r="H34" s="362" t="s">
        <v>224</v>
      </c>
      <c r="I34" s="364">
        <v>1579.05</v>
      </c>
      <c r="J34" s="365">
        <v>959</v>
      </c>
      <c r="K34" s="366">
        <f>I34</f>
        <v>1579.05</v>
      </c>
      <c r="L34" s="366"/>
      <c r="M34" s="268" t="s">
        <v>1053</v>
      </c>
    </row>
    <row r="35" spans="1:13" ht="31" x14ac:dyDescent="0.35">
      <c r="A35" s="345" t="s">
        <v>1077</v>
      </c>
      <c r="B35" s="345" t="s">
        <v>225</v>
      </c>
      <c r="C35" s="345" t="s">
        <v>670</v>
      </c>
      <c r="D35" s="345">
        <v>10</v>
      </c>
      <c r="E35" s="378">
        <v>3500</v>
      </c>
      <c r="F35" s="345" t="s">
        <v>973</v>
      </c>
      <c r="G35" s="346">
        <v>44369</v>
      </c>
      <c r="H35" s="345" t="s">
        <v>226</v>
      </c>
      <c r="I35" s="382">
        <v>3503.68</v>
      </c>
      <c r="J35" s="345">
        <v>2215</v>
      </c>
      <c r="K35" s="383">
        <v>3503.68</v>
      </c>
      <c r="L35" s="381"/>
      <c r="M35" s="381"/>
    </row>
    <row r="36" spans="1:13" ht="52.5" customHeight="1" x14ac:dyDescent="0.35">
      <c r="A36" s="335" t="s">
        <v>715</v>
      </c>
      <c r="B36" s="335" t="s">
        <v>227</v>
      </c>
      <c r="C36" s="335" t="s">
        <v>670</v>
      </c>
      <c r="D36" s="335">
        <v>1</v>
      </c>
      <c r="E36" s="361">
        <v>2200</v>
      </c>
      <c r="F36" s="362" t="s">
        <v>558</v>
      </c>
      <c r="G36" s="363">
        <v>44287</v>
      </c>
      <c r="H36" s="362" t="s">
        <v>228</v>
      </c>
      <c r="I36" s="364">
        <f>1800*1.21</f>
        <v>2178</v>
      </c>
      <c r="J36" s="365">
        <v>1145</v>
      </c>
      <c r="K36" s="366">
        <f>I36</f>
        <v>2178</v>
      </c>
      <c r="L36" s="366"/>
      <c r="M36" s="268" t="s">
        <v>1053</v>
      </c>
    </row>
    <row r="37" spans="1:13" ht="62" x14ac:dyDescent="0.35">
      <c r="A37" s="345" t="s">
        <v>1078</v>
      </c>
      <c r="B37" s="345" t="s">
        <v>229</v>
      </c>
      <c r="C37" s="345" t="s">
        <v>670</v>
      </c>
      <c r="D37" s="345">
        <v>1</v>
      </c>
      <c r="E37" s="378">
        <v>320000</v>
      </c>
      <c r="F37" s="345">
        <v>1063017957</v>
      </c>
      <c r="G37" s="346">
        <v>44369</v>
      </c>
      <c r="H37" s="388" t="s">
        <v>230</v>
      </c>
      <c r="I37" s="383">
        <v>327910</v>
      </c>
      <c r="J37" s="345">
        <v>2351</v>
      </c>
      <c r="K37" s="383">
        <v>327910</v>
      </c>
      <c r="L37" s="381"/>
      <c r="M37" s="381"/>
    </row>
    <row r="38" spans="1:13" ht="31" x14ac:dyDescent="0.35">
      <c r="A38" s="345" t="s">
        <v>1079</v>
      </c>
      <c r="B38" s="345" t="s">
        <v>231</v>
      </c>
      <c r="C38" s="345" t="s">
        <v>670</v>
      </c>
      <c r="D38" s="345">
        <v>1</v>
      </c>
      <c r="E38" s="378">
        <v>65000</v>
      </c>
      <c r="F38" s="345" t="s">
        <v>972</v>
      </c>
      <c r="G38" s="346">
        <v>44358</v>
      </c>
      <c r="H38" s="345" t="s">
        <v>189</v>
      </c>
      <c r="I38" s="382">
        <v>64656.35</v>
      </c>
      <c r="J38" s="345">
        <v>2058</v>
      </c>
      <c r="K38" s="383">
        <v>64656.35</v>
      </c>
      <c r="L38" s="381"/>
      <c r="M38" s="381"/>
    </row>
    <row r="39" spans="1:13" ht="42" x14ac:dyDescent="0.35">
      <c r="A39" s="345" t="s">
        <v>232</v>
      </c>
      <c r="B39" s="345" t="s">
        <v>232</v>
      </c>
      <c r="C39" s="345" t="s">
        <v>670</v>
      </c>
      <c r="D39" s="345">
        <v>1</v>
      </c>
      <c r="E39" s="378">
        <v>135000</v>
      </c>
      <c r="F39" s="340" t="s">
        <v>968</v>
      </c>
      <c r="G39" s="341">
        <v>44391</v>
      </c>
      <c r="H39" s="389" t="s">
        <v>559</v>
      </c>
      <c r="I39" s="382">
        <v>127892.89</v>
      </c>
      <c r="J39" s="345">
        <v>2731</v>
      </c>
      <c r="K39" s="383">
        <f>ROUND(105696.6*1.21,2)</f>
        <v>127892.89</v>
      </c>
      <c r="L39" s="381"/>
      <c r="M39" s="381"/>
    </row>
    <row r="40" spans="1:13" ht="60.75" customHeight="1" x14ac:dyDescent="0.35">
      <c r="A40" s="238" t="s">
        <v>720</v>
      </c>
      <c r="B40" s="335" t="s">
        <v>233</v>
      </c>
      <c r="C40" s="335" t="s">
        <v>670</v>
      </c>
      <c r="D40" s="335">
        <v>7</v>
      </c>
      <c r="E40" s="361">
        <v>8421</v>
      </c>
      <c r="F40" s="362" t="s">
        <v>560</v>
      </c>
      <c r="G40" s="363">
        <v>44292</v>
      </c>
      <c r="H40" s="362" t="s">
        <v>197</v>
      </c>
      <c r="I40" s="364">
        <v>8419.18</v>
      </c>
      <c r="J40" s="365">
        <v>1149</v>
      </c>
      <c r="K40" s="366">
        <f>I40</f>
        <v>8419.18</v>
      </c>
      <c r="L40" s="366"/>
      <c r="M40" s="268" t="s">
        <v>1053</v>
      </c>
    </row>
    <row r="41" spans="1:13" ht="31" x14ac:dyDescent="0.35">
      <c r="A41" s="238" t="s">
        <v>721</v>
      </c>
      <c r="B41" s="335" t="s">
        <v>234</v>
      </c>
      <c r="C41" s="335" t="s">
        <v>670</v>
      </c>
      <c r="D41" s="335">
        <v>1</v>
      </c>
      <c r="E41" s="361">
        <v>2850</v>
      </c>
      <c r="F41" s="362" t="s">
        <v>697</v>
      </c>
      <c r="G41" s="363">
        <v>44336</v>
      </c>
      <c r="H41" s="362" t="s">
        <v>189</v>
      </c>
      <c r="I41" s="364">
        <v>2202.1999999999998</v>
      </c>
      <c r="J41" s="365">
        <v>1858</v>
      </c>
      <c r="K41" s="366">
        <f t="shared" ref="K41:K42" si="1">I41</f>
        <v>2202.1999999999998</v>
      </c>
      <c r="L41" s="366"/>
      <c r="M41" s="268" t="s">
        <v>1053</v>
      </c>
    </row>
    <row r="42" spans="1:13" ht="33.75" customHeight="1" x14ac:dyDescent="0.35">
      <c r="A42" s="335" t="s">
        <v>718</v>
      </c>
      <c r="B42" s="335" t="s">
        <v>196</v>
      </c>
      <c r="C42" s="335" t="s">
        <v>670</v>
      </c>
      <c r="D42" s="335">
        <v>3</v>
      </c>
      <c r="E42" s="361">
        <v>1950</v>
      </c>
      <c r="F42" s="362" t="s">
        <v>554</v>
      </c>
      <c r="G42" s="363">
        <v>44292</v>
      </c>
      <c r="H42" s="362" t="s">
        <v>197</v>
      </c>
      <c r="I42" s="364">
        <f>535*3*1.21</f>
        <v>1942.05</v>
      </c>
      <c r="J42" s="365">
        <v>1148</v>
      </c>
      <c r="K42" s="366">
        <f t="shared" si="1"/>
        <v>1942.05</v>
      </c>
      <c r="L42" s="366"/>
      <c r="M42" s="268" t="s">
        <v>1053</v>
      </c>
    </row>
    <row r="43" spans="1:13" ht="31" x14ac:dyDescent="0.35">
      <c r="A43" s="345" t="s">
        <v>235</v>
      </c>
      <c r="B43" s="345" t="s">
        <v>235</v>
      </c>
      <c r="C43" s="345" t="s">
        <v>670</v>
      </c>
      <c r="D43" s="345">
        <v>3</v>
      </c>
      <c r="E43" s="378">
        <v>10200</v>
      </c>
      <c r="F43" s="340" t="s">
        <v>971</v>
      </c>
      <c r="G43" s="341">
        <v>44358</v>
      </c>
      <c r="H43" s="340" t="s">
        <v>189</v>
      </c>
      <c r="I43" s="379">
        <v>9434.3700000000008</v>
      </c>
      <c r="J43" s="340">
        <v>2057</v>
      </c>
      <c r="K43" s="380">
        <v>9434.3700000000008</v>
      </c>
      <c r="L43" s="381"/>
      <c r="M43" s="381"/>
    </row>
    <row r="44" spans="1:13" ht="15.5" x14ac:dyDescent="0.35">
      <c r="A44" s="345" t="s">
        <v>1081</v>
      </c>
      <c r="B44" s="345" t="s">
        <v>236</v>
      </c>
      <c r="C44" s="345" t="s">
        <v>670</v>
      </c>
      <c r="D44" s="345">
        <v>1</v>
      </c>
      <c r="E44" s="378">
        <v>5000</v>
      </c>
      <c r="F44" s="340" t="s">
        <v>970</v>
      </c>
      <c r="G44" s="341">
        <v>44348</v>
      </c>
      <c r="H44" s="340" t="s">
        <v>237</v>
      </c>
      <c r="I44" s="379">
        <v>3448.5</v>
      </c>
      <c r="J44" s="340">
        <v>790</v>
      </c>
      <c r="K44" s="380">
        <v>3448.5</v>
      </c>
      <c r="L44" s="381"/>
      <c r="M44" s="381"/>
    </row>
    <row r="45" spans="1:13" ht="43.5" customHeight="1" x14ac:dyDescent="0.35">
      <c r="A45" s="335" t="s">
        <v>726</v>
      </c>
      <c r="B45" s="335" t="s">
        <v>238</v>
      </c>
      <c r="C45" s="335" t="s">
        <v>670</v>
      </c>
      <c r="D45" s="335">
        <v>3</v>
      </c>
      <c r="E45" s="361">
        <v>1815</v>
      </c>
      <c r="F45" s="362" t="s">
        <v>561</v>
      </c>
      <c r="G45" s="363">
        <v>44308</v>
      </c>
      <c r="H45" s="362" t="s">
        <v>239</v>
      </c>
      <c r="I45" s="364">
        <v>1680</v>
      </c>
      <c r="J45" s="365">
        <v>1572</v>
      </c>
      <c r="K45" s="366">
        <f>I45</f>
        <v>1680</v>
      </c>
      <c r="L45" s="366"/>
      <c r="M45" s="268" t="s">
        <v>1053</v>
      </c>
    </row>
    <row r="46" spans="1:13" ht="28" x14ac:dyDescent="0.35">
      <c r="A46" s="335" t="s">
        <v>240</v>
      </c>
      <c r="B46" s="335" t="s">
        <v>240</v>
      </c>
      <c r="C46" s="335" t="s">
        <v>670</v>
      </c>
      <c r="D46" s="335">
        <v>20</v>
      </c>
      <c r="E46" s="361">
        <v>1016</v>
      </c>
      <c r="F46" s="362" t="s">
        <v>698</v>
      </c>
      <c r="G46" s="363">
        <v>44322</v>
      </c>
      <c r="H46" s="362" t="s">
        <v>190</v>
      </c>
      <c r="I46" s="364">
        <v>918.4</v>
      </c>
      <c r="J46" s="365">
        <v>1801</v>
      </c>
      <c r="K46" s="366">
        <f>I46</f>
        <v>918.4</v>
      </c>
      <c r="L46" s="362"/>
      <c r="M46" s="268" t="s">
        <v>1053</v>
      </c>
    </row>
    <row r="47" spans="1:13" ht="15.5" x14ac:dyDescent="0.3">
      <c r="A47" s="37" t="s">
        <v>241</v>
      </c>
      <c r="B47" s="27"/>
      <c r="C47" s="27"/>
      <c r="D47" s="27"/>
      <c r="E47" s="27"/>
      <c r="F47" s="171"/>
      <c r="G47" s="171"/>
      <c r="H47" s="171"/>
      <c r="I47" s="172"/>
      <c r="J47" s="173"/>
      <c r="K47" s="171"/>
      <c r="L47" s="171"/>
      <c r="M47" s="171"/>
    </row>
    <row r="48" spans="1:13" ht="31.5" customHeight="1" x14ac:dyDescent="0.35">
      <c r="A48" s="335" t="s">
        <v>242</v>
      </c>
      <c r="B48" s="335" t="s">
        <v>242</v>
      </c>
      <c r="C48" s="335" t="s">
        <v>669</v>
      </c>
      <c r="D48" s="335">
        <v>1</v>
      </c>
      <c r="E48" s="361">
        <v>180000</v>
      </c>
      <c r="F48" s="362" t="s">
        <v>699</v>
      </c>
      <c r="G48" s="363">
        <v>44336</v>
      </c>
      <c r="H48" s="362" t="s">
        <v>189</v>
      </c>
      <c r="I48" s="364">
        <v>178838</v>
      </c>
      <c r="J48" s="365">
        <v>1904</v>
      </c>
      <c r="K48" s="366">
        <f>I48</f>
        <v>178838</v>
      </c>
      <c r="L48" s="366"/>
      <c r="M48" s="268" t="s">
        <v>1053</v>
      </c>
    </row>
    <row r="49" spans="1:13" ht="15.5" x14ac:dyDescent="0.35">
      <c r="A49" s="709" t="s">
        <v>25</v>
      </c>
      <c r="B49" s="709" t="s">
        <v>25</v>
      </c>
      <c r="C49" s="709" t="s">
        <v>669</v>
      </c>
      <c r="D49" s="713">
        <v>1</v>
      </c>
      <c r="E49" s="711">
        <v>22990</v>
      </c>
      <c r="F49" s="667">
        <v>2103005473</v>
      </c>
      <c r="G49" s="669">
        <v>44341</v>
      </c>
      <c r="H49" s="340" t="s">
        <v>243</v>
      </c>
      <c r="I49" s="671">
        <v>22990</v>
      </c>
      <c r="J49" s="340">
        <v>786</v>
      </c>
      <c r="K49" s="380">
        <v>19000</v>
      </c>
      <c r="L49" s="673"/>
      <c r="M49" s="381"/>
    </row>
    <row r="50" spans="1:13" ht="31" x14ac:dyDescent="0.35">
      <c r="A50" s="710"/>
      <c r="B50" s="710"/>
      <c r="C50" s="710"/>
      <c r="D50" s="714"/>
      <c r="E50" s="712"/>
      <c r="F50" s="668"/>
      <c r="G50" s="670"/>
      <c r="H50" s="340" t="s">
        <v>969</v>
      </c>
      <c r="I50" s="672"/>
      <c r="J50" s="340">
        <v>2201</v>
      </c>
      <c r="K50" s="380">
        <v>3990</v>
      </c>
      <c r="L50" s="674"/>
      <c r="M50" s="381"/>
    </row>
    <row r="51" spans="1:13" ht="42" x14ac:dyDescent="0.3">
      <c r="A51" s="345" t="s">
        <v>1080</v>
      </c>
      <c r="B51" s="345" t="s">
        <v>244</v>
      </c>
      <c r="C51" s="345" t="s">
        <v>669</v>
      </c>
      <c r="D51" s="345">
        <v>1</v>
      </c>
      <c r="E51" s="378">
        <v>35148</v>
      </c>
      <c r="F51" s="340" t="s">
        <v>968</v>
      </c>
      <c r="G51" s="341">
        <v>44391</v>
      </c>
      <c r="H51" s="390" t="s">
        <v>559</v>
      </c>
      <c r="I51" s="379">
        <v>39945.730000000003</v>
      </c>
      <c r="J51" s="340">
        <v>2731</v>
      </c>
      <c r="K51" s="380">
        <f>ROUND(33013*1.21,2)</f>
        <v>39945.730000000003</v>
      </c>
      <c r="L51" s="381"/>
      <c r="M51" s="381"/>
    </row>
    <row r="52" spans="1:13" ht="36.75" customHeight="1" x14ac:dyDescent="0.35">
      <c r="A52" s="335" t="s">
        <v>713</v>
      </c>
      <c r="B52" s="335" t="s">
        <v>141</v>
      </c>
      <c r="C52" s="335" t="s">
        <v>669</v>
      </c>
      <c r="D52" s="335">
        <v>1</v>
      </c>
      <c r="E52" s="361">
        <v>26620</v>
      </c>
      <c r="F52" s="362" t="s">
        <v>562</v>
      </c>
      <c r="G52" s="363">
        <v>44294</v>
      </c>
      <c r="H52" s="377" t="s">
        <v>245</v>
      </c>
      <c r="I52" s="364">
        <v>26571.599999999999</v>
      </c>
      <c r="J52" s="365">
        <v>1366</v>
      </c>
      <c r="K52" s="366">
        <f>I52</f>
        <v>26571.599999999999</v>
      </c>
      <c r="L52" s="366"/>
      <c r="M52" s="268" t="s">
        <v>1053</v>
      </c>
    </row>
    <row r="53" spans="1:13" ht="31" x14ac:dyDescent="0.35">
      <c r="A53" s="345" t="s">
        <v>797</v>
      </c>
      <c r="B53" s="345" t="s">
        <v>246</v>
      </c>
      <c r="C53" s="345" t="s">
        <v>669</v>
      </c>
      <c r="D53" s="345">
        <v>36</v>
      </c>
      <c r="E53" s="378">
        <v>48204</v>
      </c>
      <c r="F53" s="340" t="s">
        <v>967</v>
      </c>
      <c r="G53" s="341">
        <v>44365</v>
      </c>
      <c r="H53" s="340" t="s">
        <v>247</v>
      </c>
      <c r="I53" s="379">
        <v>48133.8</v>
      </c>
      <c r="J53" s="340">
        <v>792</v>
      </c>
      <c r="K53" s="380">
        <f>I53</f>
        <v>48133.8</v>
      </c>
      <c r="L53" s="381"/>
      <c r="M53" s="381"/>
    </row>
    <row r="54" spans="1:13" ht="47.25" customHeight="1" x14ac:dyDescent="0.35">
      <c r="A54" s="335" t="s">
        <v>146</v>
      </c>
      <c r="B54" s="335" t="s">
        <v>146</v>
      </c>
      <c r="C54" s="335" t="s">
        <v>669</v>
      </c>
      <c r="D54" s="335">
        <v>1</v>
      </c>
      <c r="E54" s="361">
        <v>20570</v>
      </c>
      <c r="F54" s="362" t="s">
        <v>700</v>
      </c>
      <c r="G54" s="363">
        <v>44321</v>
      </c>
      <c r="H54" s="362" t="s">
        <v>248</v>
      </c>
      <c r="I54" s="364">
        <v>19904.5</v>
      </c>
      <c r="J54" s="365">
        <v>1655</v>
      </c>
      <c r="K54" s="366">
        <f>I54</f>
        <v>19904.5</v>
      </c>
      <c r="L54" s="366"/>
      <c r="M54" s="268" t="s">
        <v>1053</v>
      </c>
    </row>
    <row r="55" spans="1:13" ht="31" x14ac:dyDescent="0.35">
      <c r="A55" s="335" t="s">
        <v>727</v>
      </c>
      <c r="B55" s="335" t="s">
        <v>29</v>
      </c>
      <c r="C55" s="335" t="s">
        <v>669</v>
      </c>
      <c r="D55" s="335">
        <v>1</v>
      </c>
      <c r="E55" s="361">
        <v>4800</v>
      </c>
      <c r="F55" s="362" t="s">
        <v>701</v>
      </c>
      <c r="G55" s="363">
        <v>44316</v>
      </c>
      <c r="H55" s="362" t="s">
        <v>249</v>
      </c>
      <c r="I55" s="364">
        <f>4150*1.21</f>
        <v>5021.5</v>
      </c>
      <c r="J55" s="365">
        <v>1717</v>
      </c>
      <c r="K55" s="366">
        <f t="shared" ref="K55:K57" si="2">I55</f>
        <v>5021.5</v>
      </c>
      <c r="L55" s="373"/>
      <c r="M55" s="268" t="s">
        <v>1053</v>
      </c>
    </row>
    <row r="56" spans="1:13" ht="31.5" customHeight="1" x14ac:dyDescent="0.35">
      <c r="A56" s="335" t="s">
        <v>719</v>
      </c>
      <c r="B56" s="335" t="s">
        <v>31</v>
      </c>
      <c r="C56" s="335" t="s">
        <v>669</v>
      </c>
      <c r="D56" s="335">
        <v>2</v>
      </c>
      <c r="E56" s="361">
        <v>13000</v>
      </c>
      <c r="F56" s="362" t="s">
        <v>702</v>
      </c>
      <c r="G56" s="363">
        <v>44326</v>
      </c>
      <c r="H56" s="362" t="s">
        <v>189</v>
      </c>
      <c r="I56" s="364">
        <v>11979</v>
      </c>
      <c r="J56" s="365">
        <v>1707</v>
      </c>
      <c r="K56" s="366">
        <f t="shared" si="2"/>
        <v>11979</v>
      </c>
      <c r="L56" s="366"/>
      <c r="M56" s="268" t="s">
        <v>1053</v>
      </c>
    </row>
    <row r="57" spans="1:13" ht="31.5" customHeight="1" x14ac:dyDescent="0.35">
      <c r="A57" s="335" t="s">
        <v>84</v>
      </c>
      <c r="B57" s="335" t="s">
        <v>84</v>
      </c>
      <c r="C57" s="335" t="s">
        <v>669</v>
      </c>
      <c r="D57" s="335">
        <v>6</v>
      </c>
      <c r="E57" s="361">
        <v>6897</v>
      </c>
      <c r="F57" s="362" t="s">
        <v>563</v>
      </c>
      <c r="G57" s="363">
        <v>44306</v>
      </c>
      <c r="H57" s="362" t="s">
        <v>189</v>
      </c>
      <c r="I57" s="364">
        <f>5700*1.21</f>
        <v>6897</v>
      </c>
      <c r="J57" s="365">
        <v>1573</v>
      </c>
      <c r="K57" s="366">
        <f t="shared" si="2"/>
        <v>6897</v>
      </c>
      <c r="L57" s="366"/>
      <c r="M57" s="268" t="s">
        <v>1053</v>
      </c>
    </row>
    <row r="58" spans="1:13" ht="33.75" customHeight="1" x14ac:dyDescent="0.35">
      <c r="A58" s="335" t="s">
        <v>712</v>
      </c>
      <c r="B58" s="335" t="s">
        <v>33</v>
      </c>
      <c r="C58" s="335" t="s">
        <v>669</v>
      </c>
      <c r="D58" s="335">
        <v>3</v>
      </c>
      <c r="E58" s="361">
        <v>4478</v>
      </c>
      <c r="F58" s="362" t="s">
        <v>564</v>
      </c>
      <c r="G58" s="363">
        <v>44295</v>
      </c>
      <c r="H58" s="362" t="s">
        <v>189</v>
      </c>
      <c r="I58" s="364">
        <v>3993</v>
      </c>
      <c r="J58" s="365">
        <v>1147</v>
      </c>
      <c r="K58" s="366">
        <f>I58</f>
        <v>3993</v>
      </c>
      <c r="L58" s="366"/>
      <c r="M58" s="268" t="s">
        <v>1053</v>
      </c>
    </row>
    <row r="59" spans="1:13" ht="31" x14ac:dyDescent="0.35">
      <c r="A59" s="345" t="s">
        <v>35</v>
      </c>
      <c r="B59" s="345" t="s">
        <v>35</v>
      </c>
      <c r="C59" s="345" t="s">
        <v>669</v>
      </c>
      <c r="D59" s="345">
        <v>3</v>
      </c>
      <c r="E59" s="378">
        <v>3899</v>
      </c>
      <c r="F59" s="340" t="s">
        <v>966</v>
      </c>
      <c r="G59" s="341">
        <v>44375</v>
      </c>
      <c r="H59" s="340" t="s">
        <v>189</v>
      </c>
      <c r="I59" s="379">
        <v>5082</v>
      </c>
      <c r="J59" s="340">
        <v>2399</v>
      </c>
      <c r="K59" s="380">
        <v>5082</v>
      </c>
      <c r="L59" s="381"/>
      <c r="M59" s="381"/>
    </row>
    <row r="60" spans="1:13" ht="31" x14ac:dyDescent="0.35">
      <c r="A60" s="345" t="s">
        <v>1082</v>
      </c>
      <c r="B60" s="345" t="s">
        <v>250</v>
      </c>
      <c r="C60" s="345" t="s">
        <v>669</v>
      </c>
      <c r="D60" s="345">
        <v>3</v>
      </c>
      <c r="E60" s="378">
        <v>3000</v>
      </c>
      <c r="F60" s="340" t="s">
        <v>965</v>
      </c>
      <c r="G60" s="341">
        <v>44365</v>
      </c>
      <c r="H60" s="340" t="s">
        <v>247</v>
      </c>
      <c r="I60" s="379">
        <v>2686.2</v>
      </c>
      <c r="J60" s="340">
        <v>791</v>
      </c>
      <c r="K60" s="380">
        <v>2686.2</v>
      </c>
      <c r="L60" s="381"/>
      <c r="M60" s="381"/>
    </row>
    <row r="61" spans="1:13" ht="31" x14ac:dyDescent="0.35">
      <c r="A61" s="345" t="s">
        <v>36</v>
      </c>
      <c r="B61" s="345" t="s">
        <v>36</v>
      </c>
      <c r="C61" s="345" t="s">
        <v>669</v>
      </c>
      <c r="D61" s="345">
        <v>1</v>
      </c>
      <c r="E61" s="378">
        <v>1800</v>
      </c>
      <c r="F61" s="340" t="s">
        <v>964</v>
      </c>
      <c r="G61" s="341">
        <v>44377</v>
      </c>
      <c r="H61" s="340" t="s">
        <v>189</v>
      </c>
      <c r="I61" s="379">
        <v>1875.5</v>
      </c>
      <c r="J61" s="340">
        <v>2398</v>
      </c>
      <c r="K61" s="380">
        <v>1875.5</v>
      </c>
      <c r="L61" s="381"/>
      <c r="M61" s="381"/>
    </row>
    <row r="62" spans="1:13" ht="31" x14ac:dyDescent="0.35">
      <c r="A62" s="345" t="s">
        <v>251</v>
      </c>
      <c r="B62" s="345" t="s">
        <v>251</v>
      </c>
      <c r="C62" s="345" t="s">
        <v>669</v>
      </c>
      <c r="D62" s="345">
        <v>3</v>
      </c>
      <c r="E62" s="378">
        <v>84000</v>
      </c>
      <c r="F62" s="340" t="s">
        <v>963</v>
      </c>
      <c r="G62" s="341">
        <v>44315</v>
      </c>
      <c r="H62" s="340" t="s">
        <v>189</v>
      </c>
      <c r="I62" s="379">
        <v>83925.6</v>
      </c>
      <c r="J62" s="340">
        <v>789</v>
      </c>
      <c r="K62" s="380">
        <f>ROUND(69360*1.21,2)</f>
        <v>83925.6</v>
      </c>
      <c r="L62" s="381"/>
      <c r="M62" s="381"/>
    </row>
    <row r="63" spans="1:13" ht="31" x14ac:dyDescent="0.35">
      <c r="A63" s="335" t="s">
        <v>724</v>
      </c>
      <c r="B63" s="335" t="s">
        <v>252</v>
      </c>
      <c r="C63" s="335" t="s">
        <v>669</v>
      </c>
      <c r="D63" s="335">
        <v>3</v>
      </c>
      <c r="E63" s="361">
        <v>6300</v>
      </c>
      <c r="F63" s="362" t="s">
        <v>693</v>
      </c>
      <c r="G63" s="363">
        <v>44322</v>
      </c>
      <c r="H63" s="362" t="s">
        <v>190</v>
      </c>
      <c r="I63" s="364">
        <f>1735*3*1.21</f>
        <v>6298.05</v>
      </c>
      <c r="J63" s="365">
        <v>1709</v>
      </c>
      <c r="K63" s="366">
        <f>I63</f>
        <v>6298.05</v>
      </c>
      <c r="L63" s="362"/>
      <c r="M63" s="268" t="s">
        <v>1053</v>
      </c>
    </row>
    <row r="64" spans="1:13" ht="39.75" customHeight="1" x14ac:dyDescent="0.35">
      <c r="A64" s="335" t="s">
        <v>725</v>
      </c>
      <c r="B64" s="335" t="s">
        <v>45</v>
      </c>
      <c r="C64" s="335" t="s">
        <v>669</v>
      </c>
      <c r="D64" s="335">
        <v>4</v>
      </c>
      <c r="E64" s="361">
        <v>7260</v>
      </c>
      <c r="F64" s="362" t="s">
        <v>692</v>
      </c>
      <c r="G64" s="363">
        <v>44334</v>
      </c>
      <c r="H64" s="362" t="s">
        <v>190</v>
      </c>
      <c r="I64" s="364">
        <f>1499*4*1.21</f>
        <v>7255.16</v>
      </c>
      <c r="J64" s="365">
        <v>726</v>
      </c>
      <c r="K64" s="366">
        <f>I64</f>
        <v>7255.16</v>
      </c>
      <c r="L64" s="362"/>
      <c r="M64" s="268" t="s">
        <v>1053</v>
      </c>
    </row>
    <row r="65" spans="1:13" ht="42.75" customHeight="1" x14ac:dyDescent="0.35">
      <c r="A65" s="697" t="s">
        <v>703</v>
      </c>
      <c r="B65" s="698"/>
      <c r="C65" s="698"/>
      <c r="D65" s="698"/>
      <c r="E65" s="698"/>
      <c r="F65" s="698"/>
      <c r="G65" s="698"/>
      <c r="H65" s="698"/>
      <c r="I65" s="698"/>
      <c r="J65" s="698"/>
      <c r="K65" s="698"/>
      <c r="L65" s="698"/>
      <c r="M65" s="699"/>
    </row>
    <row r="66" spans="1:13" ht="27" customHeight="1" x14ac:dyDescent="0.35">
      <c r="A66" s="700"/>
      <c r="B66" s="701"/>
      <c r="C66" s="701"/>
      <c r="D66" s="701"/>
      <c r="E66" s="701"/>
      <c r="F66" s="701"/>
      <c r="G66" s="701"/>
      <c r="H66" s="701"/>
      <c r="I66" s="701"/>
      <c r="J66" s="701"/>
      <c r="K66" s="701"/>
      <c r="L66" s="701"/>
      <c r="M66" s="702"/>
    </row>
    <row r="67" spans="1:13" ht="15" customHeight="1" x14ac:dyDescent="0.35">
      <c r="A67" s="703" t="s">
        <v>704</v>
      </c>
      <c r="B67" s="704"/>
      <c r="C67" s="704"/>
      <c r="D67" s="704"/>
      <c r="E67" s="704"/>
      <c r="F67" s="704"/>
      <c r="G67" s="704"/>
      <c r="H67" s="704"/>
      <c r="I67" s="704"/>
      <c r="J67" s="704"/>
      <c r="K67" s="704"/>
      <c r="L67" s="704"/>
      <c r="M67" s="705"/>
    </row>
    <row r="68" spans="1:13" ht="61.5" customHeight="1" x14ac:dyDescent="0.35">
      <c r="A68" s="706"/>
      <c r="B68" s="707"/>
      <c r="C68" s="707"/>
      <c r="D68" s="707"/>
      <c r="E68" s="707"/>
      <c r="F68" s="707"/>
      <c r="G68" s="707"/>
      <c r="H68" s="707"/>
      <c r="I68" s="707"/>
      <c r="J68" s="707"/>
      <c r="K68" s="707"/>
      <c r="L68" s="707"/>
      <c r="M68" s="708"/>
    </row>
    <row r="73" spans="1:13" x14ac:dyDescent="0.35">
      <c r="L73" s="36"/>
    </row>
    <row r="74" spans="1:13" x14ac:dyDescent="0.35">
      <c r="L74" s="36"/>
    </row>
    <row r="75" spans="1:13" x14ac:dyDescent="0.35">
      <c r="L75" s="36"/>
    </row>
    <row r="76" spans="1:13" x14ac:dyDescent="0.35">
      <c r="K76" s="690"/>
      <c r="L76" s="690"/>
    </row>
  </sheetData>
  <autoFilter ref="A7:M68" xr:uid="{36EC19FE-244A-40D1-853C-1DB1BBBDB682}"/>
  <mergeCells count="34">
    <mergeCell ref="K76:L76"/>
    <mergeCell ref="B23:B25"/>
    <mergeCell ref="D23:D25"/>
    <mergeCell ref="E23:E25"/>
    <mergeCell ref="I23:I25"/>
    <mergeCell ref="A65:M66"/>
    <mergeCell ref="A67:M68"/>
    <mergeCell ref="B49:B50"/>
    <mergeCell ref="A49:A50"/>
    <mergeCell ref="E49:E50"/>
    <mergeCell ref="D49:D50"/>
    <mergeCell ref="C49:C50"/>
    <mergeCell ref="A4:M4"/>
    <mergeCell ref="A5:E5"/>
    <mergeCell ref="F5:M5"/>
    <mergeCell ref="A6:A7"/>
    <mergeCell ref="B6:B7"/>
    <mergeCell ref="D6:D7"/>
    <mergeCell ref="E6:E7"/>
    <mergeCell ref="F6:I6"/>
    <mergeCell ref="M6:M7"/>
    <mergeCell ref="C6:C7"/>
    <mergeCell ref="J6:L6"/>
    <mergeCell ref="J12:J15"/>
    <mergeCell ref="L12:L15"/>
    <mergeCell ref="F49:F50"/>
    <mergeCell ref="G49:G50"/>
    <mergeCell ref="I49:I50"/>
    <mergeCell ref="L49:L50"/>
    <mergeCell ref="F20:F22"/>
    <mergeCell ref="G20:G22"/>
    <mergeCell ref="K20:K22"/>
    <mergeCell ref="L20:L22"/>
    <mergeCell ref="J20:J22"/>
  </mergeCells>
  <pageMargins left="0.7" right="0.7" top="0.75" bottom="0.75" header="0.3" footer="0.3"/>
  <pageSetup paperSize="9" scale="31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01AB-CA91-4D3C-B6A9-B74325CA5ED9}">
  <sheetPr>
    <tabColor rgb="FF92D050"/>
  </sheetPr>
  <dimension ref="A1:N16"/>
  <sheetViews>
    <sheetView view="pageBreakPreview" zoomScale="60" zoomScaleNormal="80" workbookViewId="0">
      <selection activeCell="A9" sqref="A9:M9"/>
    </sheetView>
  </sheetViews>
  <sheetFormatPr defaultColWidth="9.1796875" defaultRowHeight="14" x14ac:dyDescent="0.35"/>
  <cols>
    <col min="1" max="1" width="33.1796875" style="4" customWidth="1"/>
    <col min="2" max="2" width="27.1796875" style="4" customWidth="1"/>
    <col min="3" max="3" width="35.453125" style="4" customWidth="1"/>
    <col min="4" max="4" width="14.26953125" style="4" customWidth="1"/>
    <col min="5" max="5" width="16.81640625" style="4" customWidth="1"/>
    <col min="6" max="7" width="14.1796875" style="4" customWidth="1"/>
    <col min="8" max="8" width="21" style="4" customWidth="1"/>
    <col min="9" max="10" width="14.26953125" style="4" customWidth="1"/>
    <col min="11" max="11" width="14.453125" style="4" customWidth="1"/>
    <col min="12" max="12" width="14.1796875" style="4" customWidth="1"/>
    <col min="13" max="13" width="32.81640625" style="4" customWidth="1"/>
    <col min="14" max="14" width="14.1796875" style="3" customWidth="1"/>
    <col min="15" max="17" width="10" style="4" bestFit="1" customWidth="1"/>
    <col min="18" max="16384" width="9.1796875" style="4"/>
  </cols>
  <sheetData>
    <row r="1" spans="1:14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4"/>
    </row>
    <row r="2" spans="1:14" ht="15.5" x14ac:dyDescent="0.3">
      <c r="A2" s="85" t="s">
        <v>438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4"/>
    </row>
    <row r="3" spans="1:14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4"/>
    </row>
    <row r="4" spans="1:14" ht="17.5" x14ac:dyDescent="0.35">
      <c r="A4" s="650" t="s">
        <v>4</v>
      </c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  <c r="N4" s="4"/>
    </row>
    <row r="5" spans="1:14" ht="15" x14ac:dyDescent="0.35">
      <c r="A5" s="587" t="s">
        <v>567</v>
      </c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  <c r="N5" s="4"/>
    </row>
    <row r="6" spans="1:14" ht="15" x14ac:dyDescent="0.35">
      <c r="A6" s="590" t="s">
        <v>575</v>
      </c>
      <c r="B6" s="590" t="s">
        <v>133</v>
      </c>
      <c r="C6" s="590" t="s">
        <v>574</v>
      </c>
      <c r="D6" s="590" t="s">
        <v>6</v>
      </c>
      <c r="E6" s="590" t="s">
        <v>7</v>
      </c>
      <c r="F6" s="587" t="s">
        <v>568</v>
      </c>
      <c r="G6" s="588"/>
      <c r="H6" s="588"/>
      <c r="I6" s="589"/>
      <c r="J6" s="122"/>
      <c r="K6" s="653" t="s">
        <v>578</v>
      </c>
      <c r="L6" s="654"/>
      <c r="M6" s="590" t="s">
        <v>577</v>
      </c>
      <c r="N6" s="4"/>
    </row>
    <row r="7" spans="1:14" ht="30" x14ac:dyDescent="0.35">
      <c r="A7" s="591"/>
      <c r="B7" s="591"/>
      <c r="C7" s="591"/>
      <c r="D7" s="591"/>
      <c r="E7" s="591"/>
      <c r="F7" s="5" t="s">
        <v>8</v>
      </c>
      <c r="G7" s="5" t="s">
        <v>9</v>
      </c>
      <c r="H7" s="5" t="s">
        <v>10</v>
      </c>
      <c r="I7" s="5" t="s">
        <v>11</v>
      </c>
      <c r="J7" s="91" t="s">
        <v>659</v>
      </c>
      <c r="K7" s="5" t="s">
        <v>572</v>
      </c>
      <c r="L7" s="5" t="s">
        <v>573</v>
      </c>
      <c r="M7" s="591"/>
      <c r="N7" s="4"/>
    </row>
    <row r="8" spans="1:14" ht="15.5" thickBot="1" x14ac:dyDescent="0.4">
      <c r="A8" s="6"/>
      <c r="B8" s="7" t="s">
        <v>80</v>
      </c>
      <c r="C8" s="49"/>
      <c r="D8" s="49"/>
      <c r="E8" s="54">
        <f>SUM(E9:E9)</f>
        <v>6015</v>
      </c>
      <c r="F8" s="49" t="s">
        <v>80</v>
      </c>
      <c r="G8" s="49" t="s">
        <v>80</v>
      </c>
      <c r="H8" s="49" t="s">
        <v>80</v>
      </c>
      <c r="I8" s="49"/>
      <c r="J8" s="49"/>
      <c r="K8" s="54">
        <f>K9</f>
        <v>6013.7</v>
      </c>
      <c r="L8" s="101" t="s">
        <v>80</v>
      </c>
      <c r="M8" s="7" t="s">
        <v>80</v>
      </c>
      <c r="N8" s="4"/>
    </row>
    <row r="9" spans="1:14" ht="47" thickBot="1" x14ac:dyDescent="0.4">
      <c r="A9" s="238" t="s">
        <v>742</v>
      </c>
      <c r="B9" s="391" t="s">
        <v>233</v>
      </c>
      <c r="C9" s="276" t="s">
        <v>670</v>
      </c>
      <c r="D9" s="327">
        <v>5</v>
      </c>
      <c r="E9" s="392">
        <v>6015</v>
      </c>
      <c r="F9" s="327">
        <v>211337</v>
      </c>
      <c r="G9" s="393">
        <v>44305</v>
      </c>
      <c r="H9" s="327" t="s">
        <v>536</v>
      </c>
      <c r="I9" s="392">
        <v>6013.7</v>
      </c>
      <c r="J9" s="327">
        <v>937</v>
      </c>
      <c r="K9" s="392">
        <v>6013.7</v>
      </c>
      <c r="L9" s="392"/>
      <c r="M9" s="268" t="s">
        <v>1053</v>
      </c>
      <c r="N9" s="4"/>
    </row>
    <row r="10" spans="1:14" ht="42.75" customHeight="1" x14ac:dyDescent="0.35">
      <c r="A10" s="715" t="s">
        <v>576</v>
      </c>
      <c r="B10" s="656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657"/>
      <c r="N10" s="4"/>
    </row>
    <row r="11" spans="1:14" ht="10.5" customHeight="1" x14ac:dyDescent="0.35">
      <c r="A11" s="658"/>
      <c r="B11" s="659"/>
      <c r="C11" s="659"/>
      <c r="D11" s="659"/>
      <c r="E11" s="659"/>
      <c r="F11" s="659"/>
      <c r="G11" s="659"/>
      <c r="H11" s="659"/>
      <c r="I11" s="659"/>
      <c r="J11" s="659"/>
      <c r="K11" s="659"/>
      <c r="L11" s="659"/>
      <c r="M11" s="660"/>
      <c r="N11" s="4"/>
    </row>
    <row r="15" spans="1:14" x14ac:dyDescent="0.35">
      <c r="N15" s="4"/>
    </row>
    <row r="16" spans="1:14" x14ac:dyDescent="0.35">
      <c r="N16" s="4"/>
    </row>
  </sheetData>
  <mergeCells count="12">
    <mergeCell ref="A10:M11"/>
    <mergeCell ref="A4:M4"/>
    <mergeCell ref="A5:E5"/>
    <mergeCell ref="F5:M5"/>
    <mergeCell ref="A6:A7"/>
    <mergeCell ref="B6:B7"/>
    <mergeCell ref="D6:D7"/>
    <mergeCell ref="E6:E7"/>
    <mergeCell ref="F6:I6"/>
    <mergeCell ref="K6:L6"/>
    <mergeCell ref="M6:M7"/>
    <mergeCell ref="C6:C7"/>
  </mergeCells>
  <pageMargins left="0.7" right="0.7" top="0.75" bottom="0.75" header="0.3" footer="0.3"/>
  <pageSetup paperSize="9" scale="31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6D39-8941-42BB-89C4-77FB0C1DC154}">
  <sheetPr>
    <tabColor rgb="FF92D050"/>
  </sheetPr>
  <dimension ref="A1:N21"/>
  <sheetViews>
    <sheetView view="pageBreakPreview" zoomScale="60" zoomScaleNormal="80" workbookViewId="0">
      <selection activeCell="M13" sqref="M13"/>
    </sheetView>
  </sheetViews>
  <sheetFormatPr defaultColWidth="9.1796875" defaultRowHeight="14" x14ac:dyDescent="0.35"/>
  <cols>
    <col min="1" max="1" width="20.453125" style="4" customWidth="1"/>
    <col min="2" max="2" width="35.453125" style="4" customWidth="1"/>
    <col min="3" max="3" width="21.1796875" style="4" customWidth="1"/>
    <col min="4" max="4" width="14.26953125" style="4" customWidth="1"/>
    <col min="5" max="5" width="16.81640625" style="4" customWidth="1"/>
    <col min="6" max="7" width="14.1796875" style="4" customWidth="1"/>
    <col min="8" max="8" width="21" style="4" customWidth="1"/>
    <col min="9" max="10" width="14.26953125" style="4" customWidth="1"/>
    <col min="11" max="11" width="14.453125" style="4" customWidth="1"/>
    <col min="12" max="12" width="14.1796875" style="4" customWidth="1"/>
    <col min="13" max="13" width="32.81640625" style="4" customWidth="1"/>
    <col min="14" max="14" width="14.1796875" style="3" customWidth="1"/>
    <col min="15" max="17" width="10" style="4" bestFit="1" customWidth="1"/>
    <col min="18" max="16384" width="9.1796875" style="4"/>
  </cols>
  <sheetData>
    <row r="1" spans="1:13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5.5" x14ac:dyDescent="0.3">
      <c r="A2" s="85" t="s">
        <v>174</v>
      </c>
      <c r="B2" s="1"/>
      <c r="C2" s="1"/>
      <c r="D2" s="1"/>
      <c r="E2" s="1"/>
      <c r="F2" s="1"/>
      <c r="G2" s="1"/>
      <c r="H2" s="81"/>
      <c r="I2" s="81"/>
      <c r="J2" s="81"/>
      <c r="K2" s="1"/>
      <c r="L2" s="1"/>
      <c r="M2" s="2"/>
    </row>
    <row r="3" spans="1:13" ht="15.5" x14ac:dyDescent="0.35">
      <c r="A3" s="1"/>
      <c r="B3" s="1"/>
      <c r="C3" s="1"/>
      <c r="D3" s="1"/>
      <c r="E3" s="1"/>
      <c r="F3" s="1"/>
      <c r="G3" s="1"/>
      <c r="H3" s="81"/>
      <c r="I3" s="79"/>
      <c r="J3" s="79"/>
      <c r="K3" s="1"/>
      <c r="L3" s="1"/>
      <c r="M3" s="2"/>
    </row>
    <row r="4" spans="1:13" ht="17.5" x14ac:dyDescent="0.35">
      <c r="A4" s="650"/>
      <c r="B4" s="650"/>
      <c r="C4" s="650"/>
      <c r="D4" s="650"/>
      <c r="E4" s="651"/>
      <c r="F4" s="651"/>
      <c r="G4" s="651"/>
      <c r="H4" s="651"/>
      <c r="I4" s="651"/>
      <c r="J4" s="651"/>
      <c r="K4" s="651"/>
      <c r="L4" s="651"/>
      <c r="M4" s="652"/>
    </row>
    <row r="5" spans="1:13" ht="15" x14ac:dyDescent="0.35">
      <c r="A5" s="588"/>
      <c r="B5" s="588"/>
      <c r="C5" s="588"/>
      <c r="D5" s="588"/>
      <c r="E5" s="589"/>
      <c r="F5" s="587" t="s">
        <v>4</v>
      </c>
      <c r="G5" s="588"/>
      <c r="H5" s="588"/>
      <c r="I5" s="588"/>
      <c r="J5" s="588"/>
      <c r="K5" s="588"/>
      <c r="L5" s="588"/>
      <c r="M5" s="589"/>
    </row>
    <row r="6" spans="1:13" ht="15.75" customHeight="1" x14ac:dyDescent="0.35">
      <c r="A6" s="590" t="s">
        <v>575</v>
      </c>
      <c r="B6" s="590" t="s">
        <v>133</v>
      </c>
      <c r="C6" s="590" t="s">
        <v>574</v>
      </c>
      <c r="D6" s="590" t="s">
        <v>6</v>
      </c>
      <c r="E6" s="590" t="s">
        <v>7</v>
      </c>
      <c r="F6" s="587" t="s">
        <v>134</v>
      </c>
      <c r="G6" s="588"/>
      <c r="H6" s="588"/>
      <c r="I6" s="589"/>
      <c r="J6" s="587" t="s">
        <v>571</v>
      </c>
      <c r="K6" s="588"/>
      <c r="L6" s="589"/>
      <c r="M6" s="590" t="s">
        <v>135</v>
      </c>
    </row>
    <row r="7" spans="1:13" ht="30" x14ac:dyDescent="0.35">
      <c r="A7" s="591"/>
      <c r="B7" s="591"/>
      <c r="C7" s="591"/>
      <c r="D7" s="591"/>
      <c r="E7" s="591"/>
      <c r="F7" s="5" t="s">
        <v>8</v>
      </c>
      <c r="G7" s="5" t="s">
        <v>9</v>
      </c>
      <c r="H7" s="5" t="s">
        <v>10</v>
      </c>
      <c r="I7" s="5" t="s">
        <v>11</v>
      </c>
      <c r="J7" s="91" t="s">
        <v>659</v>
      </c>
      <c r="K7" s="5" t="s">
        <v>580</v>
      </c>
      <c r="L7" s="5" t="s">
        <v>581</v>
      </c>
      <c r="M7" s="591"/>
    </row>
    <row r="8" spans="1:13" ht="15" x14ac:dyDescent="0.35">
      <c r="A8" s="6"/>
      <c r="B8" s="7"/>
      <c r="C8" s="7"/>
      <c r="D8" s="7"/>
      <c r="E8" s="46">
        <f>SUM(E9:E19)</f>
        <v>166501.25</v>
      </c>
      <c r="F8" s="7"/>
      <c r="G8" s="7"/>
      <c r="H8" s="7"/>
      <c r="I8" s="46">
        <f>SUM(I9:I19)</f>
        <v>117811.85</v>
      </c>
      <c r="J8" s="46"/>
      <c r="K8" s="46">
        <f>SUM(K9:K19)</f>
        <v>117811.85</v>
      </c>
      <c r="L8" s="7"/>
      <c r="M8" s="7"/>
    </row>
    <row r="9" spans="1:13" ht="35.25" customHeight="1" x14ac:dyDescent="0.35">
      <c r="A9" s="335" t="s">
        <v>740</v>
      </c>
      <c r="B9" s="335" t="s">
        <v>24</v>
      </c>
      <c r="C9" s="335" t="s">
        <v>669</v>
      </c>
      <c r="D9" s="335">
        <v>1</v>
      </c>
      <c r="E9" s="394">
        <v>43557.58</v>
      </c>
      <c r="F9" s="395" t="s">
        <v>728</v>
      </c>
      <c r="G9" s="395" t="s">
        <v>729</v>
      </c>
      <c r="H9" s="396" t="s">
        <v>176</v>
      </c>
      <c r="I9" s="395">
        <v>35076.89</v>
      </c>
      <c r="J9" s="395">
        <v>1010</v>
      </c>
      <c r="K9" s="395">
        <v>35076.89</v>
      </c>
      <c r="L9" s="395"/>
      <c r="M9" s="268" t="s">
        <v>1053</v>
      </c>
    </row>
    <row r="10" spans="1:13" ht="46.5" x14ac:dyDescent="0.35">
      <c r="A10" s="335" t="s">
        <v>739</v>
      </c>
      <c r="B10" s="335" t="s">
        <v>32</v>
      </c>
      <c r="C10" s="335" t="s">
        <v>669</v>
      </c>
      <c r="D10" s="335">
        <v>3</v>
      </c>
      <c r="E10" s="394">
        <v>7913.4000000000005</v>
      </c>
      <c r="F10" s="396" t="s">
        <v>730</v>
      </c>
      <c r="G10" s="396" t="s">
        <v>689</v>
      </c>
      <c r="H10" s="396" t="s">
        <v>731</v>
      </c>
      <c r="I10" s="396">
        <v>8530.5</v>
      </c>
      <c r="J10" s="396">
        <v>989</v>
      </c>
      <c r="K10" s="396">
        <v>8530.5</v>
      </c>
      <c r="L10" s="396"/>
      <c r="M10" s="268" t="s">
        <v>1053</v>
      </c>
    </row>
    <row r="11" spans="1:13" ht="31" x14ac:dyDescent="0.35">
      <c r="A11" s="335" t="s">
        <v>737</v>
      </c>
      <c r="B11" s="335" t="s">
        <v>33</v>
      </c>
      <c r="C11" s="335" t="s">
        <v>669</v>
      </c>
      <c r="D11" s="335">
        <v>2</v>
      </c>
      <c r="E11" s="394">
        <v>2985.04</v>
      </c>
      <c r="F11" s="395" t="s">
        <v>175</v>
      </c>
      <c r="G11" s="395" t="s">
        <v>120</v>
      </c>
      <c r="H11" s="395" t="s">
        <v>176</v>
      </c>
      <c r="I11" s="397">
        <v>3271.84</v>
      </c>
      <c r="J11" s="396">
        <v>731</v>
      </c>
      <c r="K11" s="397">
        <v>3271.84</v>
      </c>
      <c r="L11" s="397"/>
      <c r="M11" s="268" t="s">
        <v>1053</v>
      </c>
    </row>
    <row r="12" spans="1:13" ht="31" x14ac:dyDescent="0.35">
      <c r="A12" s="335" t="s">
        <v>741</v>
      </c>
      <c r="B12" s="335" t="s">
        <v>137</v>
      </c>
      <c r="C12" s="335" t="s">
        <v>669</v>
      </c>
      <c r="D12" s="335">
        <v>1</v>
      </c>
      <c r="E12" s="394">
        <v>1369.72</v>
      </c>
      <c r="F12" s="396" t="s">
        <v>732</v>
      </c>
      <c r="G12" s="396" t="s">
        <v>733</v>
      </c>
      <c r="H12" s="396" t="s">
        <v>731</v>
      </c>
      <c r="I12" s="396">
        <v>1518.55</v>
      </c>
      <c r="J12" s="396">
        <v>1009</v>
      </c>
      <c r="K12" s="396">
        <v>1518.55</v>
      </c>
      <c r="L12" s="396"/>
      <c r="M12" s="268" t="s">
        <v>1053</v>
      </c>
    </row>
    <row r="13" spans="1:13" ht="15.5" x14ac:dyDescent="0.35">
      <c r="A13" s="28"/>
      <c r="B13" s="8" t="s">
        <v>38</v>
      </c>
      <c r="C13" s="8" t="s">
        <v>669</v>
      </c>
      <c r="D13" s="8">
        <v>5</v>
      </c>
      <c r="E13" s="102">
        <v>3361.5499999999997</v>
      </c>
      <c r="F13" s="63"/>
      <c r="G13" s="63"/>
      <c r="H13" s="63"/>
      <c r="I13" s="175"/>
      <c r="J13" s="174"/>
      <c r="K13" s="175"/>
      <c r="L13" s="175"/>
      <c r="M13" s="174" t="s">
        <v>442</v>
      </c>
    </row>
    <row r="14" spans="1:13" ht="31" x14ac:dyDescent="0.35">
      <c r="A14" s="335" t="s">
        <v>308</v>
      </c>
      <c r="B14" s="335" t="s">
        <v>39</v>
      </c>
      <c r="C14" s="335" t="s">
        <v>669</v>
      </c>
      <c r="D14" s="335">
        <v>1</v>
      </c>
      <c r="E14" s="394">
        <v>49489</v>
      </c>
      <c r="F14" s="395" t="s">
        <v>443</v>
      </c>
      <c r="G14" s="395" t="s">
        <v>444</v>
      </c>
      <c r="H14" s="395" t="s">
        <v>445</v>
      </c>
      <c r="I14" s="397">
        <v>38960.79</v>
      </c>
      <c r="J14" s="396">
        <v>807</v>
      </c>
      <c r="K14" s="397">
        <v>38960.79</v>
      </c>
      <c r="L14" s="397"/>
      <c r="M14" s="268" t="s">
        <v>1053</v>
      </c>
    </row>
    <row r="15" spans="1:13" ht="31" x14ac:dyDescent="0.35">
      <c r="A15" s="335" t="s">
        <v>738</v>
      </c>
      <c r="B15" s="335" t="s">
        <v>44</v>
      </c>
      <c r="C15" s="335" t="s">
        <v>669</v>
      </c>
      <c r="D15" s="335">
        <v>8</v>
      </c>
      <c r="E15" s="394">
        <v>33684.959999999999</v>
      </c>
      <c r="F15" s="395" t="s">
        <v>446</v>
      </c>
      <c r="G15" s="395" t="s">
        <v>447</v>
      </c>
      <c r="H15" s="395" t="s">
        <v>448</v>
      </c>
      <c r="I15" s="397">
        <v>7260</v>
      </c>
      <c r="J15" s="396">
        <v>822</v>
      </c>
      <c r="K15" s="397">
        <v>7260</v>
      </c>
      <c r="L15" s="397"/>
      <c r="M15" s="268" t="s">
        <v>1053</v>
      </c>
    </row>
    <row r="16" spans="1:13" ht="28" x14ac:dyDescent="0.35">
      <c r="A16" s="246" t="s">
        <v>735</v>
      </c>
      <c r="B16" s="335" t="s">
        <v>177</v>
      </c>
      <c r="C16" s="335" t="s">
        <v>670</v>
      </c>
      <c r="D16" s="335">
        <v>2</v>
      </c>
      <c r="E16" s="394">
        <v>10286</v>
      </c>
      <c r="F16" s="395" t="s">
        <v>178</v>
      </c>
      <c r="G16" s="395" t="s">
        <v>179</v>
      </c>
      <c r="H16" s="395" t="s">
        <v>180</v>
      </c>
      <c r="I16" s="397">
        <v>10285</v>
      </c>
      <c r="J16" s="396">
        <v>613</v>
      </c>
      <c r="K16" s="397">
        <v>10285</v>
      </c>
      <c r="L16" s="397"/>
      <c r="M16" s="268" t="s">
        <v>1053</v>
      </c>
    </row>
    <row r="17" spans="1:13" ht="31" x14ac:dyDescent="0.35">
      <c r="A17" s="334" t="s">
        <v>736</v>
      </c>
      <c r="B17" s="335" t="s">
        <v>181</v>
      </c>
      <c r="C17" s="335" t="s">
        <v>670</v>
      </c>
      <c r="D17" s="335">
        <v>3</v>
      </c>
      <c r="E17" s="394">
        <v>4800</v>
      </c>
      <c r="F17" s="395" t="s">
        <v>182</v>
      </c>
      <c r="G17" s="395" t="s">
        <v>183</v>
      </c>
      <c r="H17" s="395" t="s">
        <v>176</v>
      </c>
      <c r="I17" s="397">
        <v>4501.2</v>
      </c>
      <c r="J17" s="396">
        <v>731</v>
      </c>
      <c r="K17" s="397">
        <v>4501.2</v>
      </c>
      <c r="L17" s="397"/>
      <c r="M17" s="268" t="s">
        <v>1053</v>
      </c>
    </row>
    <row r="18" spans="1:13" ht="77.5" x14ac:dyDescent="0.35">
      <c r="A18" s="238" t="s">
        <v>742</v>
      </c>
      <c r="B18" s="335" t="s">
        <v>184</v>
      </c>
      <c r="C18" s="335" t="s">
        <v>670</v>
      </c>
      <c r="D18" s="335">
        <v>3</v>
      </c>
      <c r="E18" s="394">
        <v>3609</v>
      </c>
      <c r="F18" s="395" t="s">
        <v>185</v>
      </c>
      <c r="G18" s="395" t="s">
        <v>158</v>
      </c>
      <c r="H18" s="395" t="s">
        <v>186</v>
      </c>
      <c r="I18" s="397">
        <v>2405.48</v>
      </c>
      <c r="J18" s="396">
        <v>589</v>
      </c>
      <c r="K18" s="397">
        <v>2405.48</v>
      </c>
      <c r="L18" s="397"/>
      <c r="M18" s="268" t="s">
        <v>1053</v>
      </c>
    </row>
    <row r="19" spans="1:13" ht="28" x14ac:dyDescent="0.35">
      <c r="A19" s="334" t="s">
        <v>146</v>
      </c>
      <c r="B19" s="335" t="s">
        <v>146</v>
      </c>
      <c r="C19" s="335" t="s">
        <v>670</v>
      </c>
      <c r="D19" s="335">
        <v>1</v>
      </c>
      <c r="E19" s="394">
        <v>5445</v>
      </c>
      <c r="F19" s="396" t="s">
        <v>734</v>
      </c>
      <c r="G19" s="396" t="s">
        <v>733</v>
      </c>
      <c r="H19" s="396" t="s">
        <v>743</v>
      </c>
      <c r="I19" s="396">
        <v>6001.6</v>
      </c>
      <c r="J19" s="396">
        <v>969</v>
      </c>
      <c r="K19" s="396">
        <v>6001.6</v>
      </c>
      <c r="L19" s="396"/>
      <c r="M19" s="268" t="s">
        <v>1053</v>
      </c>
    </row>
    <row r="21" spans="1:13" x14ac:dyDescent="0.35">
      <c r="A21" s="31"/>
    </row>
  </sheetData>
  <mergeCells count="11">
    <mergeCell ref="A4:M4"/>
    <mergeCell ref="A5:E5"/>
    <mergeCell ref="F5:M5"/>
    <mergeCell ref="B6:B7"/>
    <mergeCell ref="D6:D7"/>
    <mergeCell ref="E6:E7"/>
    <mergeCell ref="F6:I6"/>
    <mergeCell ref="M6:M7"/>
    <mergeCell ref="A6:A7"/>
    <mergeCell ref="C6:C7"/>
    <mergeCell ref="J6:L6"/>
  </mergeCells>
  <pageMargins left="0.7" right="0.7" top="0.75" bottom="0.75" header="0.3" footer="0.3"/>
  <pageSetup paperSize="9" scale="35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Kopsavilkums</vt:lpstr>
      <vt:lpstr>Vidz_V</vt:lpstr>
      <vt:lpstr>Jēk_BŪV_IV</vt:lpstr>
      <vt:lpstr>Jēk_IV</vt:lpstr>
      <vt:lpstr>Rez_V</vt:lpstr>
      <vt:lpstr>Liepa_IV</vt:lpstr>
      <vt:lpstr>Ziemeļk_IV</vt:lpstr>
      <vt:lpstr>Jelg_IV</vt:lpstr>
      <vt:lpstr>Jūrm_IV</vt:lpstr>
      <vt:lpstr>Tuk_IV</vt:lpstr>
      <vt:lpstr>R.1.sl_V</vt:lpstr>
      <vt:lpstr>Balv_V</vt:lpstr>
      <vt:lpstr>Alūksn_V</vt:lpstr>
      <vt:lpstr>Cēsis_V</vt:lpstr>
      <vt:lpstr>Krāsl_V</vt:lpstr>
      <vt:lpstr>Kuldīg_V</vt:lpstr>
      <vt:lpstr>Observacija</vt:lpstr>
      <vt:lpstr>intensiva_terapija_3_5</vt:lpstr>
      <vt:lpstr>IT_kopsavilkums_6-8</vt:lpstr>
      <vt:lpstr>Cēsis_V!Print_Area</vt:lpstr>
      <vt:lpstr>Rez_V!Print_Area</vt:lpstr>
      <vt:lpstr>Tuk_IV!Print_Area</vt:lpstr>
      <vt:lpstr>Ziemeļk_IV!Print_Area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Guna Jermacāne</cp:lastModifiedBy>
  <cp:lastPrinted>2021-09-26T14:36:03Z</cp:lastPrinted>
  <dcterms:created xsi:type="dcterms:W3CDTF">2021-01-07T07:33:46Z</dcterms:created>
  <dcterms:modified xsi:type="dcterms:W3CDTF">2021-09-29T09:30:26Z</dcterms:modified>
</cp:coreProperties>
</file>