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vnozare.pri\vm\Redirect_profiles\gjermacane\Desktop\"/>
    </mc:Choice>
  </mc:AlternateContent>
  <xr:revisionPtr revIDLastSave="0" documentId="8_{406ED0C2-D29B-4AB9-9C81-46758A0C0C26}" xr6:coauthVersionLast="47" xr6:coauthVersionMax="47" xr10:uidLastSave="{00000000-0000-0000-0000-000000000000}"/>
  <bookViews>
    <workbookView xWindow="-110" yWindow="-110" windowWidth="19420" windowHeight="10420" tabRatio="944" xr2:uid="{00000000-000D-0000-FFFF-FFFF00000000}"/>
  </bookViews>
  <sheets>
    <sheet name="LNG_kopā" sheetId="1" r:id="rId1"/>
    <sheet name="D-pils_VIII" sheetId="65" r:id="rId2"/>
    <sheet name="Vidz_VIII" sheetId="64" r:id="rId3"/>
    <sheet name="Jēkabp_VII" sheetId="63" r:id="rId4"/>
    <sheet name="Liep_VI" sheetId="58" r:id="rId5"/>
    <sheet name="Rēz_VII" sheetId="61" r:id="rId6"/>
    <sheet name="Ziemeļk_IV" sheetId="46" r:id="rId7"/>
    <sheet name="Jelg_V" sheetId="50" r:id="rId8"/>
    <sheet name="Bauska_II" sheetId="25" r:id="rId9"/>
    <sheet name="Aizkr_IV" sheetId="43" r:id="rId10"/>
    <sheet name="Ludz_V" sheetId="52" r:id="rId11"/>
    <sheet name="R.1.sl_IV" sheetId="39" r:id="rId12"/>
    <sheet name="Alūksn_IV" sheetId="40" r:id="rId13"/>
    <sheet name="Balvi" sheetId="70" r:id="rId14"/>
    <sheet name="Kuldīga" sheetId="71" r:id="rId15"/>
    <sheet name="BKUS" sheetId="75" r:id="rId16"/>
    <sheet name="PSKUS" sheetId="76" r:id="rId17"/>
  </sheets>
  <definedNames>
    <definedName name="_xlnm._FilterDatabase" localSheetId="9" hidden="1">Aizkr_IV!$A$7:$N$37</definedName>
    <definedName name="_xlnm._FilterDatabase" localSheetId="8" hidden="1">Bauska_II!$A$7:$N$24</definedName>
    <definedName name="_xlnm._FilterDatabase" localSheetId="7" hidden="1">Jelg_V!$A$7:$O$23</definedName>
    <definedName name="_xlnm._FilterDatabase" localSheetId="3" hidden="1">Jēkabp_VII!$A$8:$N$72</definedName>
    <definedName name="_xlnm._FilterDatabase" localSheetId="4" hidden="1">Liep_VI!$A$7:$N$29</definedName>
    <definedName name="_xlnm._FilterDatabase" localSheetId="10" hidden="1">Ludz_V!$A$7:$O$20</definedName>
    <definedName name="_xlnm._FilterDatabase" localSheetId="11" hidden="1">'R.1.sl_IV'!$A$7:$P$41</definedName>
    <definedName name="_xlnm._FilterDatabase" localSheetId="5" hidden="1">Rēz_VII!$A$7:$O$24</definedName>
    <definedName name="_xlnm._FilterDatabase" localSheetId="2" hidden="1">Vidz_VIII!$A$7:$N$57</definedName>
    <definedName name="_xlnm._FilterDatabase" localSheetId="6" hidden="1">Ziemeļk_IV!$A$7:$P$33</definedName>
    <definedName name="_xlnm.Print_Area" localSheetId="13">Balvi!$A$1:$L$19</definedName>
    <definedName name="_xlnm.Print_Area" localSheetId="15">BKUS!$A$1:$L$12</definedName>
    <definedName name="_xlnm.Print_Area" localSheetId="1">'D-pils_VIII'!$A$1:$N$48</definedName>
    <definedName name="_xlnm.Print_Area" localSheetId="14">Kuldīga!$A$1:$K$14</definedName>
    <definedName name="_xlnm.Print_Area" localSheetId="16">PSKUS!$A$1:$L$12</definedName>
    <definedName name="_xlnm.Print_Area" localSheetId="5">Rēz_VII!$A$1:$N$27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5" i="1" l="1"/>
  <c r="R18" i="1"/>
  <c r="R13" i="1"/>
  <c r="R21" i="1"/>
  <c r="R9" i="1"/>
  <c r="E8" i="1"/>
  <c r="E9" i="1"/>
  <c r="E10" i="1"/>
  <c r="E12" i="1"/>
  <c r="E13" i="1"/>
  <c r="E17" i="1"/>
  <c r="E18" i="1"/>
  <c r="E21" i="1"/>
  <c r="O21" i="1" s="1"/>
  <c r="N7" i="1"/>
  <c r="M7" i="1"/>
  <c r="L7" i="1"/>
  <c r="D7" i="1"/>
  <c r="P7" i="1"/>
  <c r="E22" i="1"/>
  <c r="S22" i="1" s="1"/>
  <c r="P20" i="1"/>
  <c r="F15" i="1"/>
  <c r="Q15" i="1"/>
  <c r="H15" i="1"/>
  <c r="G15" i="1"/>
  <c r="Q14" i="1"/>
  <c r="L8" i="46"/>
  <c r="L8" i="64"/>
  <c r="J8" i="64"/>
  <c r="O22" i="1" l="1"/>
  <c r="S9" i="1"/>
  <c r="E15" i="1"/>
  <c r="S15" i="1" s="1"/>
  <c r="S18" i="1"/>
  <c r="R7" i="1"/>
  <c r="S21" i="1"/>
  <c r="Q8" i="1"/>
  <c r="L14" i="65"/>
  <c r="J14" i="65"/>
  <c r="L13" i="65"/>
  <c r="J13" i="65"/>
  <c r="M28" i="65" l="1"/>
  <c r="M24" i="65"/>
  <c r="L8" i="40" l="1"/>
  <c r="J8" i="40"/>
  <c r="E8" i="76" l="1"/>
  <c r="I8" i="76"/>
  <c r="E8" i="75"/>
  <c r="I8" i="75"/>
  <c r="G21" i="1"/>
  <c r="D8" i="71"/>
  <c r="H8" i="71"/>
  <c r="J8" i="71"/>
  <c r="Q19" i="1"/>
  <c r="I8" i="70"/>
  <c r="K8" i="70"/>
  <c r="D9" i="70"/>
  <c r="E9" i="70" s="1"/>
  <c r="E8" i="70" s="1"/>
  <c r="D10" i="70"/>
  <c r="E10" i="70"/>
  <c r="D11" i="70"/>
  <c r="E11" i="70" s="1"/>
  <c r="D12" i="70"/>
  <c r="E12" i="70"/>
  <c r="E13" i="70"/>
  <c r="D14" i="70"/>
  <c r="E14" i="70"/>
  <c r="E15" i="70"/>
  <c r="D16" i="70"/>
  <c r="E16" i="70" s="1"/>
  <c r="E17" i="70"/>
  <c r="E18" i="70"/>
  <c r="O8" i="39" l="1"/>
  <c r="I18" i="1" l="1"/>
  <c r="H18" i="1"/>
  <c r="G18" i="1"/>
  <c r="F18" i="1"/>
  <c r="Q18" i="1"/>
  <c r="K17" i="1"/>
  <c r="J17" i="1"/>
  <c r="I17" i="1"/>
  <c r="H17" i="1"/>
  <c r="K16" i="1"/>
  <c r="I16" i="1"/>
  <c r="H16" i="1"/>
  <c r="G16" i="1"/>
  <c r="G7" i="1" s="1"/>
  <c r="F16" i="1"/>
  <c r="J8" i="43"/>
  <c r="Q16" i="1"/>
  <c r="Q7" i="1" s="1"/>
  <c r="H8" i="39"/>
  <c r="N8" i="39"/>
  <c r="L8" i="52"/>
  <c r="L8" i="43"/>
  <c r="J14" i="1"/>
  <c r="I14" i="1"/>
  <c r="H14" i="1"/>
  <c r="G14" i="1"/>
  <c r="F8" i="25"/>
  <c r="L8" i="25"/>
  <c r="J8" i="25"/>
  <c r="L8" i="50"/>
  <c r="H13" i="1"/>
  <c r="G13" i="1"/>
  <c r="L12" i="1"/>
  <c r="H12" i="1"/>
  <c r="G12" i="1"/>
  <c r="J8" i="61"/>
  <c r="L8" i="61"/>
  <c r="J17" i="58"/>
  <c r="L9" i="63"/>
  <c r="M10" i="1"/>
  <c r="L10" i="1"/>
  <c r="K10" i="1"/>
  <c r="J10" i="1"/>
  <c r="I10" i="1"/>
  <c r="H10" i="1"/>
  <c r="L9" i="1"/>
  <c r="K9" i="1"/>
  <c r="M9" i="1"/>
  <c r="J9" i="1"/>
  <c r="I9" i="1"/>
  <c r="H9" i="1"/>
  <c r="G9" i="1"/>
  <c r="F9" i="1"/>
  <c r="Q9" i="1"/>
  <c r="K8" i="1"/>
  <c r="H8" i="1"/>
  <c r="J8" i="1"/>
  <c r="I8" i="1"/>
  <c r="F8" i="1"/>
  <c r="L8" i="65"/>
  <c r="E16" i="1" l="1"/>
  <c r="S16" i="1" s="1"/>
  <c r="F7" i="1"/>
  <c r="O8" i="1" l="1"/>
  <c r="S8" i="1"/>
  <c r="J10" i="65"/>
  <c r="J8" i="65" s="1"/>
  <c r="F8" i="65"/>
  <c r="F8" i="64" l="1"/>
  <c r="F9" i="63" l="1"/>
  <c r="J48" i="63"/>
  <c r="J9" i="63" s="1"/>
  <c r="F8" i="61"/>
  <c r="G10" i="1" l="1"/>
  <c r="J26" i="58" l="1"/>
  <c r="J25" i="58"/>
  <c r="J24" i="58"/>
  <c r="J23" i="58"/>
  <c r="J22" i="58"/>
  <c r="J21" i="58"/>
  <c r="J20" i="58"/>
  <c r="J19" i="58"/>
  <c r="J18" i="58"/>
  <c r="J16" i="58"/>
  <c r="J15" i="58"/>
  <c r="J14" i="58"/>
  <c r="J13" i="58"/>
  <c r="J12" i="58"/>
  <c r="J11" i="1" s="1"/>
  <c r="J7" i="1" s="1"/>
  <c r="F8" i="58"/>
  <c r="I11" i="1" l="1"/>
  <c r="I7" i="1" s="1"/>
  <c r="H11" i="1"/>
  <c r="K11" i="1"/>
  <c r="K7" i="1" s="1"/>
  <c r="J8" i="58"/>
  <c r="E11" i="1" l="1"/>
  <c r="H7" i="1"/>
  <c r="J8" i="52"/>
  <c r="F8" i="52"/>
  <c r="S11" i="1" l="1"/>
  <c r="J8" i="50"/>
  <c r="F8" i="50"/>
  <c r="J30" i="46"/>
  <c r="J29" i="46"/>
  <c r="J19" i="46"/>
  <c r="J18" i="46"/>
  <c r="J17" i="46"/>
  <c r="J16" i="46"/>
  <c r="J9" i="46"/>
  <c r="F8" i="46"/>
  <c r="E8" i="46"/>
  <c r="F8" i="43"/>
  <c r="I20" i="1"/>
  <c r="E20" i="1" s="1"/>
  <c r="L8" i="39"/>
  <c r="C28" i="39"/>
  <c r="C29" i="39" s="1"/>
  <c r="C30" i="39" s="1"/>
  <c r="C31" i="39" s="1"/>
  <c r="C32" i="39" s="1"/>
  <c r="C33" i="39" s="1"/>
  <c r="C34" i="39" s="1"/>
  <c r="C35" i="39" s="1"/>
  <c r="C36" i="39" s="1"/>
  <c r="C37" i="39" s="1"/>
  <c r="C38" i="39" s="1"/>
  <c r="C39" i="39" s="1"/>
  <c r="C40" i="39" s="1"/>
  <c r="C41" i="39" s="1"/>
  <c r="C14" i="39"/>
  <c r="C15" i="39" s="1"/>
  <c r="C16" i="39" s="1"/>
  <c r="C17" i="39" s="1"/>
  <c r="C18" i="39" s="1"/>
  <c r="C19" i="39" s="1"/>
  <c r="C20" i="39" s="1"/>
  <c r="C21" i="39" s="1"/>
  <c r="C22" i="39" s="1"/>
  <c r="C23" i="39" s="1"/>
  <c r="C24" i="39" s="1"/>
  <c r="C25" i="39" s="1"/>
  <c r="E14" i="1"/>
  <c r="S14" i="1" s="1"/>
  <c r="E19" i="1"/>
  <c r="E7" i="1" l="1"/>
  <c r="O20" i="1"/>
  <c r="S20" i="1"/>
  <c r="O12" i="1"/>
  <c r="S12" i="1"/>
  <c r="O19" i="1"/>
  <c r="S19" i="1"/>
  <c r="O16" i="1"/>
  <c r="O15" i="1"/>
  <c r="O14" i="1"/>
  <c r="J32" i="46"/>
  <c r="I13" i="1" s="1"/>
  <c r="O11" i="1"/>
  <c r="S10" i="1"/>
  <c r="O13" i="1" l="1"/>
  <c r="O9" i="1"/>
  <c r="O18" i="1"/>
  <c r="O17" i="1"/>
  <c r="S17" i="1"/>
  <c r="J8" i="46"/>
  <c r="M8" i="46"/>
  <c r="O10" i="1"/>
  <c r="O7" i="1" l="1"/>
  <c r="S13" i="1"/>
  <c r="S7" i="1" s="1"/>
</calcChain>
</file>

<file path=xl/sharedStrings.xml><?xml version="1.0" encoding="utf-8"?>
<sst xmlns="http://schemas.openxmlformats.org/spreadsheetml/2006/main" count="2548" uniqueCount="1148">
  <si>
    <t>Summa</t>
  </si>
  <si>
    <t>Balvu un Gulbenes SA</t>
  </si>
  <si>
    <t>Daugavpils RS</t>
  </si>
  <si>
    <t>Jēkabpils RS</t>
  </si>
  <si>
    <t>Jelgavas PS</t>
  </si>
  <si>
    <t>Liepājas RS</t>
  </si>
  <si>
    <t>Nr.</t>
  </si>
  <si>
    <t>NVD Līgums</t>
  </si>
  <si>
    <t>datums</t>
  </si>
  <si>
    <t xml:space="preserve">Informācija par finanšu līdzekļu izlietojumu </t>
  </si>
  <si>
    <t>Grupa</t>
  </si>
  <si>
    <t>Skaits</t>
  </si>
  <si>
    <t>Plānotā summa (ar PVN), EUR</t>
  </si>
  <si>
    <r>
      <t xml:space="preserve">Maksājuma uzdevums </t>
    </r>
    <r>
      <rPr>
        <sz val="12"/>
        <color theme="1"/>
        <rFont val="Times New Roman"/>
        <family val="1"/>
        <charset val="186"/>
      </rPr>
      <t>(atbilstoši  Līguma 3.1.4.punktam)</t>
    </r>
  </si>
  <si>
    <t>Pavadzīmes  Nr.</t>
  </si>
  <si>
    <t>Datums</t>
  </si>
  <si>
    <t>Piegādātājs</t>
  </si>
  <si>
    <t>Summa ( ar PVN) EUR</t>
  </si>
  <si>
    <t>KOPĀ, t.sk.</t>
  </si>
  <si>
    <t>x</t>
  </si>
  <si>
    <t>Pulsa oksimetri bez baterijas</t>
  </si>
  <si>
    <t>Stetoskopi Rapport</t>
  </si>
  <si>
    <t>Atlikums pret līgumā plānoto</t>
  </si>
  <si>
    <t>SIA Vidzemes slimnīca</t>
  </si>
  <si>
    <t>Pulsa oksimetri</t>
  </si>
  <si>
    <t>janvāris</t>
  </si>
  <si>
    <t>februāris</t>
  </si>
  <si>
    <t>marts</t>
  </si>
  <si>
    <t>aprīlis</t>
  </si>
  <si>
    <t>Vidzemes RS</t>
  </si>
  <si>
    <t>Rēzeknes sl</t>
  </si>
  <si>
    <t>Ziemeļkurzemes RS</t>
  </si>
  <si>
    <t>Bauskas sl</t>
  </si>
  <si>
    <t>Aizkraukles sl</t>
  </si>
  <si>
    <t>Ludzas MC</t>
  </si>
  <si>
    <t>Rīgas 1.sl.</t>
  </si>
  <si>
    <t>Alūksnes sl</t>
  </si>
  <si>
    <t>Kuldīgas sl</t>
  </si>
  <si>
    <t>26.01.2021.</t>
  </si>
  <si>
    <t>NVD-2/58-2021</t>
  </si>
  <si>
    <t>22.01.2021.</t>
  </si>
  <si>
    <t>NVD-2/45-2021</t>
  </si>
  <si>
    <t>NVD-2/59-2021</t>
  </si>
  <si>
    <t>21.01.2021.</t>
  </si>
  <si>
    <t>NVD-2/30-2022</t>
  </si>
  <si>
    <t>SIA "ALŪKSNES SLIMNĪCA"</t>
  </si>
  <si>
    <t>Medicīniskā iekārta/papildaprīkojums</t>
  </si>
  <si>
    <t>Mākslīgās plaušas ventilācijas iekārtas gaisa sildītājs un mitrinātājs (centralizēti piegādātiem)</t>
  </si>
  <si>
    <t>Plānotais finansējums</t>
  </si>
  <si>
    <t>Cena ar PVN</t>
  </si>
  <si>
    <t xml:space="preserve">Pavadzīme </t>
  </si>
  <si>
    <t xml:space="preserve">Maksājuma uzdevums </t>
  </si>
  <si>
    <t xml:space="preserve">Komentārs par izpildes progresu </t>
  </si>
  <si>
    <t>Teleskopiskais aizslietnis</t>
  </si>
  <si>
    <t>Skābekļa centrāles uzlabošana</t>
  </si>
  <si>
    <t>Tiek gatavota tehniskā specifikācija.</t>
  </si>
  <si>
    <t>Vakuumsūknis (50l/min)</t>
  </si>
  <si>
    <t>Ratiņi slimnieku kopšanai</t>
  </si>
  <si>
    <t>Instrumentu/procedūru galdiņi</t>
  </si>
  <si>
    <t>Videobronhoskops (daudzreizlietojams)</t>
  </si>
  <si>
    <t>Elektrokardiogrāfijas iekārta</t>
  </si>
  <si>
    <t>RTG aizsargsiena</t>
  </si>
  <si>
    <t>RTG aizsargtērpu (priekšauts, vairogdziedzera aizsargs, sejas aizsargs/brilles) komplekts</t>
  </si>
  <si>
    <t>Palātas mobilā rentgena iekārta</t>
  </si>
  <si>
    <t>Aerogen miglošanas komplekts</t>
  </si>
  <si>
    <t>Mobils tualetes krēsls</t>
  </si>
  <si>
    <t>Dušas guļrati</t>
  </si>
  <si>
    <t>Pacientu novērošanas monitors</t>
  </si>
  <si>
    <t>Perfūzijas sūknis</t>
  </si>
  <si>
    <t>Hemodialīzes iekārta</t>
  </si>
  <si>
    <t>Funkcionālās gultas</t>
  </si>
  <si>
    <t>Ultrasonogrāfijas iekārta</t>
  </si>
  <si>
    <t xml:space="preserve">Datortomogrāfijas iekārta </t>
  </si>
  <si>
    <t>Pacientu ratiņkrēsli</t>
  </si>
  <si>
    <t>Pacientu transporta rati</t>
  </si>
  <si>
    <t>Instrumentu mazgāšanas-dezinfekcijas iekārta</t>
  </si>
  <si>
    <t>Paplāte/trauku komplekts</t>
  </si>
  <si>
    <t>Durvju automātikas iegāde un uzstādīšana</t>
  </si>
  <si>
    <t>Grīdas mazgājamā mašīna</t>
  </si>
  <si>
    <t xml:space="preserve">Hemodialīzes nodaļas izolatora izbūve </t>
  </si>
  <si>
    <t>282734 BLV</t>
  </si>
  <si>
    <t>B.Braun Medical SIA</t>
  </si>
  <si>
    <t>21-00283</t>
  </si>
  <si>
    <t>Gultas veļas komplekts</t>
  </si>
  <si>
    <t>Ventilācijas sistēmas aprīkošana, pārprojektēšana, atsevišķi nosūces gaisa un pretspiediena risinājumi</t>
  </si>
  <si>
    <t>Nepārtrauktās neatkarīgās elektro barošanas sistēmas papildināšana</t>
  </si>
  <si>
    <t>Māsu izsaukuma sistēma uzlabošana</t>
  </si>
  <si>
    <t>Darbstaciju iegāde</t>
  </si>
  <si>
    <t>Medikamentu norakstīšanai skaneris</t>
  </si>
  <si>
    <t>WEB kameras</t>
  </si>
  <si>
    <t>MarkIT Latvija SIA</t>
  </si>
  <si>
    <t>21-00491</t>
  </si>
  <si>
    <t>Papildus videonovērošanas kameras</t>
  </si>
  <si>
    <t>SIA "Rīgas 1.Slimnīca"</t>
  </si>
  <si>
    <t>Medicinskās iekārtas un papildaprīkojums</t>
  </si>
  <si>
    <t>A3 printeris, medicīnas vēstures drukai</t>
  </si>
  <si>
    <t>IBS218577</t>
  </si>
  <si>
    <t>25.01.2021.</t>
  </si>
  <si>
    <t>IB SERVISS SIA</t>
  </si>
  <si>
    <t>Norobežojošo sienu izveide</t>
  </si>
  <si>
    <t>17.12.2020.</t>
  </si>
  <si>
    <t>AS Kesko Senukai Latvia</t>
  </si>
  <si>
    <t>Liftu, telpu, grīdu marķēšana, covid ierobežojumu paziņojumi</t>
  </si>
  <si>
    <t>Ūdenī šķīstošie atkritumu maisi (120-150l)</t>
  </si>
  <si>
    <t>PRA255751</t>
  </si>
  <si>
    <t>SIA "PRĀNA KO"</t>
  </si>
  <si>
    <t>Atkritumu tvertnes ar pedāli (50l)</t>
  </si>
  <si>
    <t>PRO055736</t>
  </si>
  <si>
    <t>29.01.2021.</t>
  </si>
  <si>
    <t>SIA "PRODLEX"</t>
  </si>
  <si>
    <t>Līķu maisi</t>
  </si>
  <si>
    <t>Aprūpes rati</t>
  </si>
  <si>
    <t>Transporta MPV iekārtas</t>
  </si>
  <si>
    <t>Portatīvie pacientu monitori ar statīvu</t>
  </si>
  <si>
    <t>Defibrilatori</t>
  </si>
  <si>
    <t>Infūzijas sūkņi</t>
  </si>
  <si>
    <t>Perfūzijas sūkņi</t>
  </si>
  <si>
    <t>Barošanas sūkņi</t>
  </si>
  <si>
    <t>Infūzijas statīvi</t>
  </si>
  <si>
    <t>Vakuumsūkņi</t>
  </si>
  <si>
    <t>Portatīvs elektrokardiogrāfs</t>
  </si>
  <si>
    <t>Pārvietojama, digitāla rentgeniekārta</t>
  </si>
  <si>
    <t>Flovmetri ar mitrinātāju</t>
  </si>
  <si>
    <t>Ledusskapji medikamentiem</t>
  </si>
  <si>
    <t>Asins gāzu analizators</t>
  </si>
  <si>
    <t>Saspiestā gaisa pievads</t>
  </si>
  <si>
    <t>Skābekļa izvada izveide piepacienta gultas</t>
  </si>
  <si>
    <t>Papildus guļrati</t>
  </si>
  <si>
    <t>Papildus sēdrati</t>
  </si>
  <si>
    <t>Vienreizlietojamās medicīnas piederumi</t>
  </si>
  <si>
    <t>Laringoskopijas komplekts ar dažāda izmēra laringoskopijas spoguļiem</t>
  </si>
  <si>
    <t>Pacienta monitors (lielais) IntelliVue X3 MX450</t>
  </si>
  <si>
    <t>ARB 105047</t>
  </si>
  <si>
    <t>Perfuzors</t>
  </si>
  <si>
    <t>Vakuumsūknis Askir 30 ar burku Ca-Mi 2L</t>
  </si>
  <si>
    <t>EKG ierīce ELI230</t>
  </si>
  <si>
    <t>Asinsgāzu analizators ar 25 gab vienreizlietojamiem kartridžiem Irma Trupoint</t>
  </si>
  <si>
    <t>ARB 105074</t>
  </si>
  <si>
    <t>Pacienta transportēšanas monitors</t>
  </si>
  <si>
    <t>Asinsspiediena mērītājs M-200A</t>
  </si>
  <si>
    <t>AM201200515</t>
  </si>
  <si>
    <t>Fonendoskopi</t>
  </si>
  <si>
    <t>NVD-2/49-2021</t>
  </si>
  <si>
    <t>SIA "Ziemeļkurzemes reģionālā slimnīca"</t>
  </si>
  <si>
    <t>Vakuuma sūknis - atsūcējs</t>
  </si>
  <si>
    <t>SIA "Mediq Latvija"</t>
  </si>
  <si>
    <t>10 pacientu novērošanas monitori ar kronšteinu+ mērījumu serveris ar programmatūru un centrālo staciju</t>
  </si>
  <si>
    <t>SIA “Arbor Medical Korporācija”</t>
  </si>
  <si>
    <t>Pārvietojamaie ratiņi (procedūru galdiņš)</t>
  </si>
  <si>
    <t>SIA "NMS ELPA"</t>
  </si>
  <si>
    <t>Perfuzori</t>
  </si>
  <si>
    <t>SIA ‘’B.Braun Medical’’</t>
  </si>
  <si>
    <t xml:space="preserve">Pulsa oksimetrs </t>
  </si>
  <si>
    <t>Skābekļa plūsmas mērītāji ar mitrinātāju</t>
  </si>
  <si>
    <t>Inhalācijas aparāts</t>
  </si>
  <si>
    <t>SIA “A.Medical”</t>
  </si>
  <si>
    <t>Automātiskās virsmu dezinfekcijas iekārta</t>
  </si>
  <si>
    <t>SIA "Amrid"</t>
  </si>
  <si>
    <t>Dezinfekcijas un gaisa attīrīšanas iekārta</t>
  </si>
  <si>
    <t>SIA “BIOMARK”</t>
  </si>
  <si>
    <t>Bīstamo atkritumu konteineru statīvi</t>
  </si>
  <si>
    <t xml:space="preserve">SIA “Interlux” </t>
  </si>
  <si>
    <t>Konteineri bīstamajiem atkritumiem ar vāku</t>
  </si>
  <si>
    <t>Guļrati</t>
  </si>
  <si>
    <t>Elektrokardiogrāfs</t>
  </si>
  <si>
    <t>Portatīvais pulsa oksimetrs triecienizturīgs</t>
  </si>
  <si>
    <t>SIA “AB Medical Group Riga”</t>
  </si>
  <si>
    <t>Infuzomats</t>
  </si>
  <si>
    <t>Defibrilators ar monitoru</t>
  </si>
  <si>
    <t>Pretizgulējumu matracis</t>
  </si>
  <si>
    <t>Pārvietojamais medikamentu un medicīnisko preču skapis</t>
  </si>
  <si>
    <t>Funkcionālās gulta- izolatorā pirms ITN</t>
  </si>
  <si>
    <t xml:space="preserve">Mitrinātājs plaušu mākslīgās ventilācijas iekārtai ar sildīšanas kabeli un temperatūras plūsmas zondi </t>
  </si>
  <si>
    <t>SIA “TRADINTEK”</t>
  </si>
  <si>
    <t>UAB „SLAUGIVITA”</t>
  </si>
  <si>
    <t>SIA "Liepājas reģionālā slimnīca"</t>
  </si>
  <si>
    <t>Skābekļa ražošanas stacija, t.sk.:
1) Skābekļa ģenerators - 2 gab
2) Skrūves tipa gaisa kompresors - 2gab
3) Skābekļa un gaisa resīveri - 4 gab
4) filtri un oglekļa kolonna - kmpl.</t>
  </si>
  <si>
    <t>Pacientu monitoringa sistēma</t>
  </si>
  <si>
    <t>Mākslīgās plaušu ventilācijas (MPV) iekārtas</t>
  </si>
  <si>
    <t>Mākslīgās plaušu ventilācijas iekārtas</t>
  </si>
  <si>
    <t xml:space="preserve">Darba stacijas (perfuzoriem, infuzomātiem) </t>
  </si>
  <si>
    <t>Infuzomāti</t>
  </si>
  <si>
    <t>Perfūzijas iekārtas</t>
  </si>
  <si>
    <t>Intrakraniāla spiediena monitorings</t>
  </si>
  <si>
    <t>Pacienta aktīva sildīšanas/dzesēšanas iekārta</t>
  </si>
  <si>
    <t>Fibrobronhoskops</t>
  </si>
  <si>
    <t>Pretizgulējumu matrači (aktīvie)</t>
  </si>
  <si>
    <t>Pretizgulējumu matrači</t>
  </si>
  <si>
    <t>KPR ierīce  - Netiešās sirds masāžas dēlis</t>
  </si>
  <si>
    <t>Defibrilators</t>
  </si>
  <si>
    <t>EKG iekārta</t>
  </si>
  <si>
    <t>IT gultas</t>
  </si>
  <si>
    <t>Transporta rati (RAN zāles)</t>
  </si>
  <si>
    <t>Transporta rati (parastie)</t>
  </si>
  <si>
    <t>Transporta sēdkrēsls</t>
  </si>
  <si>
    <t>Mobila rentgena iekārta</t>
  </si>
  <si>
    <t>NVD-2/31-2021</t>
  </si>
  <si>
    <t>NVD-2/46-2021</t>
  </si>
  <si>
    <t>SIA "Bauskas slimnīca"</t>
  </si>
  <si>
    <t>Palāta</t>
  </si>
  <si>
    <r>
      <t xml:space="preserve">funkcionālā gulta </t>
    </r>
    <r>
      <rPr>
        <b/>
        <sz val="12"/>
        <color theme="1"/>
        <rFont val="Times New Roman"/>
        <family val="1"/>
        <charset val="186"/>
      </rPr>
      <t>ELEGANZA 1</t>
    </r>
  </si>
  <si>
    <t>SIA "Arbor Medical Korporācija" Reģ. Nr. 40003547099</t>
  </si>
  <si>
    <r>
      <t xml:space="preserve">pacienta galds ar ēdināšanas dēli </t>
    </r>
    <r>
      <rPr>
        <b/>
        <sz val="12"/>
        <color theme="1"/>
        <rFont val="Times New Roman"/>
        <family val="1"/>
        <charset val="186"/>
      </rPr>
      <t>ELEGANZA CLASSIC</t>
    </r>
  </si>
  <si>
    <r>
      <t xml:space="preserve">matracis pretizgulējuma </t>
    </r>
    <r>
      <rPr>
        <b/>
        <sz val="12"/>
        <color theme="1"/>
        <rFont val="Times New Roman"/>
        <family val="1"/>
        <charset val="186"/>
      </rPr>
      <t>PRIMACARE 20</t>
    </r>
  </si>
  <si>
    <t>Telpu dezinfekcija</t>
  </si>
  <si>
    <r>
      <t xml:space="preserve">UV pārvietojama lampa </t>
    </r>
    <r>
      <rPr>
        <b/>
        <sz val="12"/>
        <rFont val="Times New Roman"/>
        <family val="1"/>
        <charset val="186"/>
      </rPr>
      <t xml:space="preserve">NEXA PROLUX G® M220W/SPDO </t>
    </r>
    <r>
      <rPr>
        <i/>
        <sz val="12"/>
        <rFont val="Times New Roman"/>
        <family val="1"/>
        <charset val="186"/>
      </rPr>
      <t>(ieteicamā telpas platība (griestiem 2,5 m) - 80 m</t>
    </r>
    <r>
      <rPr>
        <i/>
        <vertAlign val="superscript"/>
        <sz val="12"/>
        <rFont val="Times New Roman"/>
        <family val="1"/>
        <charset val="186"/>
      </rPr>
      <t>2</t>
    </r>
    <r>
      <rPr>
        <i/>
        <sz val="12"/>
        <rFont val="Times New Roman"/>
        <family val="1"/>
        <charset val="186"/>
      </rPr>
      <t>; spuldžu darbības ilgums -18000 st.).</t>
    </r>
  </si>
  <si>
    <r>
      <t xml:space="preserve">Telpu dezinfektors </t>
    </r>
    <r>
      <rPr>
        <b/>
        <sz val="12"/>
        <color theme="1"/>
        <rFont val="Times New Roman"/>
        <family val="1"/>
        <charset val="186"/>
      </rPr>
      <t>NOCOSPRAY</t>
    </r>
  </si>
  <si>
    <t>ARB 106233</t>
  </si>
  <si>
    <t>Iepirkums pabeigts</t>
  </si>
  <si>
    <t>Papildus iekārtas</t>
  </si>
  <si>
    <r>
      <t xml:space="preserve">pacienta monitors </t>
    </r>
    <r>
      <rPr>
        <b/>
        <sz val="12"/>
        <color theme="1"/>
        <rFont val="Times New Roman"/>
        <family val="1"/>
        <charset val="186"/>
      </rPr>
      <t>IntelliVue X3</t>
    </r>
  </si>
  <si>
    <t>ARB 104897</t>
  </si>
  <si>
    <t>skābekļa koncentrators</t>
  </si>
  <si>
    <r>
      <t xml:space="preserve">pulsooksimetrs portatīvais </t>
    </r>
    <r>
      <rPr>
        <b/>
        <sz val="12"/>
        <color theme="1"/>
        <rFont val="Times New Roman"/>
        <family val="1"/>
        <charset val="186"/>
      </rPr>
      <t>LittleDoctor</t>
    </r>
  </si>
  <si>
    <t>ARB 104701</t>
  </si>
  <si>
    <r>
      <t xml:space="preserve">medicīniskais sūknis </t>
    </r>
    <r>
      <rPr>
        <b/>
        <sz val="12"/>
        <color theme="1"/>
        <rFont val="Times New Roman"/>
        <family val="1"/>
        <charset val="186"/>
      </rPr>
      <t>Askir 30</t>
    </r>
  </si>
  <si>
    <r>
      <t xml:space="preserve">ventilators ar skābekļa terapiju </t>
    </r>
    <r>
      <rPr>
        <b/>
        <sz val="12"/>
        <color theme="1"/>
        <rFont val="Times New Roman"/>
        <family val="1"/>
        <charset val="186"/>
      </rPr>
      <t>V60 Plus</t>
    </r>
    <r>
      <rPr>
        <sz val="12"/>
        <color theme="1"/>
        <rFont val="Times New Roman"/>
        <family val="1"/>
        <charset val="186"/>
      </rPr>
      <t>:
- iekārta V60 Plus;
- mitrinātājs Airniva Wilamed;
maska AF531 M NIV mutes-deguna</t>
    </r>
  </si>
  <si>
    <r>
      <t xml:space="preserve">portatīvais EKG aparāts </t>
    </r>
    <r>
      <rPr>
        <b/>
        <sz val="12"/>
        <color theme="1"/>
        <rFont val="Times New Roman"/>
        <family val="1"/>
        <charset val="186"/>
      </rPr>
      <t>Mortara Rscribe 6</t>
    </r>
    <r>
      <rPr>
        <sz val="12"/>
        <color theme="1"/>
        <rFont val="Times New Roman"/>
        <family val="1"/>
        <charset val="186"/>
      </rPr>
      <t xml:space="preserve">:
- programmatūra (licences);
- programmatūra arhivācijas sistēma;
</t>
    </r>
  </si>
  <si>
    <r>
      <t>portatīvais dators ar kuru savienojas bezvadu EKG kabeļa modulis (</t>
    </r>
    <r>
      <rPr>
        <i/>
        <sz val="12"/>
        <color theme="1"/>
        <rFont val="Times New Roman"/>
        <family val="1"/>
        <charset val="186"/>
      </rPr>
      <t>Windows + MS Office Home&amp;Bussines licences</t>
    </r>
    <r>
      <rPr>
        <sz val="12"/>
        <color theme="1"/>
        <rFont val="Times New Roman"/>
        <family val="1"/>
        <charset val="186"/>
      </rPr>
      <t>)</t>
    </r>
  </si>
  <si>
    <t>MSM010343</t>
  </si>
  <si>
    <t xml:space="preserve"> SIA "MS Modulis"  Reģ . Nr. 40003998012</t>
  </si>
  <si>
    <r>
      <t xml:space="preserve">asins gāzes analizātors </t>
    </r>
    <r>
      <rPr>
        <b/>
        <sz val="12"/>
        <color theme="1"/>
        <rFont val="Times New Roman"/>
        <family val="1"/>
        <charset val="186"/>
      </rPr>
      <t xml:space="preserve">GEM 5000 </t>
    </r>
    <r>
      <rPr>
        <i/>
        <sz val="12"/>
        <color theme="1"/>
        <rFont val="Times New Roman"/>
        <family val="1"/>
        <charset val="186"/>
      </rPr>
      <t>(pH, pCO</t>
    </r>
    <r>
      <rPr>
        <i/>
        <vertAlign val="subscript"/>
        <sz val="12"/>
        <color theme="1"/>
        <rFont val="Times New Roman"/>
        <family val="1"/>
        <charset val="186"/>
      </rPr>
      <t>2</t>
    </r>
    <r>
      <rPr>
        <i/>
        <sz val="12"/>
        <color theme="1"/>
        <rFont val="Times New Roman"/>
        <family val="1"/>
        <charset val="186"/>
      </rPr>
      <t>, pO</t>
    </r>
    <r>
      <rPr>
        <i/>
        <vertAlign val="subscript"/>
        <sz val="12"/>
        <color theme="1"/>
        <rFont val="Times New Roman"/>
        <family val="1"/>
        <charset val="186"/>
      </rPr>
      <t>2</t>
    </r>
    <r>
      <rPr>
        <i/>
        <sz val="12"/>
        <color theme="1"/>
        <rFont val="Times New Roman"/>
        <family val="1"/>
        <charset val="186"/>
      </rPr>
      <t>, Na</t>
    </r>
    <r>
      <rPr>
        <i/>
        <vertAlign val="superscript"/>
        <sz val="12"/>
        <color theme="1"/>
        <rFont val="Times New Roman"/>
        <family val="1"/>
        <charset val="186"/>
      </rPr>
      <t>+</t>
    </r>
    <r>
      <rPr>
        <i/>
        <sz val="12"/>
        <color theme="1"/>
        <rFont val="Times New Roman"/>
        <family val="1"/>
        <charset val="186"/>
      </rPr>
      <t>, K</t>
    </r>
    <r>
      <rPr>
        <i/>
        <vertAlign val="superscript"/>
        <sz val="12"/>
        <color theme="1"/>
        <rFont val="Times New Roman"/>
        <family val="1"/>
        <charset val="186"/>
      </rPr>
      <t>+</t>
    </r>
    <r>
      <rPr>
        <i/>
        <sz val="12"/>
        <color theme="1"/>
        <rFont val="Times New Roman"/>
        <family val="1"/>
        <charset val="186"/>
      </rPr>
      <t>, Ca</t>
    </r>
    <r>
      <rPr>
        <i/>
        <vertAlign val="superscript"/>
        <sz val="12"/>
        <color theme="1"/>
        <rFont val="Times New Roman"/>
        <family val="1"/>
        <charset val="186"/>
      </rPr>
      <t>++</t>
    </r>
    <r>
      <rPr>
        <i/>
        <sz val="12"/>
        <color theme="1"/>
        <rFont val="Times New Roman"/>
        <family val="1"/>
        <charset val="186"/>
      </rPr>
      <t>, Cl</t>
    </r>
    <r>
      <rPr>
        <i/>
        <vertAlign val="superscript"/>
        <sz val="12"/>
        <color theme="1"/>
        <rFont val="Times New Roman"/>
        <family val="1"/>
        <charset val="186"/>
      </rPr>
      <t>-</t>
    </r>
    <r>
      <rPr>
        <i/>
        <sz val="12"/>
        <color theme="1"/>
        <rFont val="Times New Roman"/>
        <family val="1"/>
        <charset val="186"/>
      </rPr>
      <t>, Glu, Lac, Hct, tHb, O</t>
    </r>
    <r>
      <rPr>
        <i/>
        <vertAlign val="subscript"/>
        <sz val="12"/>
        <color theme="1"/>
        <rFont val="Times New Roman"/>
        <family val="1"/>
        <charset val="186"/>
      </rPr>
      <t>2</t>
    </r>
    <r>
      <rPr>
        <i/>
        <sz val="12"/>
        <color theme="1"/>
        <rFont val="Times New Roman"/>
        <family val="1"/>
        <charset val="186"/>
      </rPr>
      <t>Hb, COHb, MetHb, HHb, tBili, sO</t>
    </r>
    <r>
      <rPr>
        <i/>
        <vertAlign val="subscript"/>
        <sz val="12"/>
        <color theme="1"/>
        <rFont val="Times New Roman"/>
        <family val="1"/>
        <charset val="186"/>
      </rPr>
      <t>2</t>
    </r>
    <r>
      <rPr>
        <i/>
        <sz val="12"/>
        <color theme="1"/>
        <rFont val="Times New Roman"/>
        <family val="1"/>
        <charset val="186"/>
      </rPr>
      <t xml:space="preserve"> u.c. kalkulējamie parametri):
- iekārta GEM 5000;</t>
    </r>
    <r>
      <rPr>
        <sz val="12"/>
        <color theme="1"/>
        <rFont val="Times New Roman"/>
        <family val="1"/>
        <charset val="186"/>
      </rPr>
      <t xml:space="preserve">
</t>
    </r>
  </si>
  <si>
    <t>ABTK 210012</t>
  </si>
  <si>
    <t>04.01.2021.</t>
  </si>
  <si>
    <t>SIA "Amerikas Baltijas Tehnoloģiju Korporācija" Reģ. Nr. 50003399781</t>
  </si>
  <si>
    <t>FT21008YGS8M</t>
  </si>
  <si>
    <t xml:space="preserve">
 kasetes ar reaģentiem (4 gab.)</t>
  </si>
  <si>
    <t>ABTK 210013</t>
  </si>
  <si>
    <t>inhalators</t>
  </si>
  <si>
    <t>Skābekļa telpa</t>
  </si>
  <si>
    <t>automātiskā sistēma ar pārslēgšanu un ziņošanu</t>
  </si>
  <si>
    <t>Linde Gas SIA reģ. Nr. 40003068518</t>
  </si>
  <si>
    <t>SIA "Jelgavas pilsētas slimnīca"</t>
  </si>
  <si>
    <t>Medicīnas ierīce</t>
  </si>
  <si>
    <t>Fosforplates radioloģijas nodaļai</t>
  </si>
  <si>
    <t>DICOM Worklist licence fosforplašu attīstītāja darba stacijai</t>
  </si>
  <si>
    <t xml:space="preserve">Funkcionālās gultas </t>
  </si>
  <si>
    <t>Vitālo parametru novērošanas monitors</t>
  </si>
  <si>
    <t>Perfuzors (infūzijas šļirču sūknis)</t>
  </si>
  <si>
    <t>Inžekcijas sūkņi</t>
  </si>
  <si>
    <t>Pretizgulējumu matrači + pārvalki</t>
  </si>
  <si>
    <t>Skābekļa plūsmas mērītāji</t>
  </si>
  <si>
    <t>Elektrokardiogrāfi</t>
  </si>
  <si>
    <t>Ultrasonogrāfijas aparāts</t>
  </si>
  <si>
    <t>Mobilā rentgenogrāfijas iekārta</t>
  </si>
  <si>
    <t>NVD-2/42-2021</t>
  </si>
  <si>
    <t>NVD-2/32-2021</t>
  </si>
  <si>
    <t>NVD-2/70-2021-1</t>
  </si>
  <si>
    <t>28.01.2021.</t>
  </si>
  <si>
    <t>NVD-2/29/2021 </t>
  </si>
  <si>
    <t>NVD-2/51-2021.</t>
  </si>
  <si>
    <t>X</t>
  </si>
  <si>
    <t>NVD-2/47-2021</t>
  </si>
  <si>
    <t>NVD-2/44-2021</t>
  </si>
  <si>
    <t>Izolācijas "biokapsula" COVID-19 inficēto pacientu transportēšanai</t>
  </si>
  <si>
    <t>Pacientu funkcionālās gultas ar matračiem gultu fonda paplašināšanai</t>
  </si>
  <si>
    <t>Nepārtrauktās nieru aizstājterapijas iekārta (paplašinoties RAN un ITN vienību gultas profilam un nodrošinot triju pacientu plūsmu ārstēšanu – inficētie, ar aizdomām par inficēšanos un ar Covid-19 vīrusu neinficētie pacienti)</t>
  </si>
  <si>
    <t>Pretizgulējuma matrači</t>
  </si>
  <si>
    <t xml:space="preserve">Pārvietojamās USI iekārtas akūto pacientu izmeklēšanai papildus izveidotas RAN un ITN vienībās, kā arī atsevišķi izveidotas ar Covid-19 inficēto pacientu ar ķirurģiskām komplikācijām dinamiskai novērošanai. Pašlaik tam nolūkam tiek izmantota ierīce, ko pēc tam dezinficē un pielieto “tīrā” RAN, ITN, Inazīvās kardioloģijas un Operāciju bloka telpās. </t>
  </si>
  <si>
    <t>Rūpnieciski ražotie dzīvojamie moduļi slimnīcas tranzīt vienības un observācijas vienību gultas fonda paplašināšanai, uzstādot tos slimnīcas teritorijā (ar tamburu speciālistu pārģērbšanai ienākot potenciāli sarkanā zonā, ar atsevišķo WC un dušas telpu katrā; linolejs, siltināti ar PAROCC vati, reģipsa griesti, krāsotas tapetēs, metālā durvis, plastika logi, + lampas un rozetes), 3m uz 10 m, līdz  5 pacientu izvietošanai katrā.</t>
  </si>
  <si>
    <t>Pārvietojamā palātas rentgeniekārta struktūrvienības “Plaušu slimību un tuberkulozes centrs” Covid-19 vienību un ITN vajadzībām</t>
  </si>
  <si>
    <t>LOXM Medicīniska sašķidrināta skābekļa padeves sistēmas (6 m3 tilpums) tvertnes ar iztvaicēšanas sistēmu uzstādīšana, struktūrvienībā Plaušu slimību un tuberkulozes centrā, ar mērķi palielināt SIA “Daugavpils reģionālajā Slimnīca” medicīniskā skābekļa rezerves un nodrošināt pilnvērtīgu Covid-19 inficēto pacientu ārstēšanu</t>
  </si>
  <si>
    <t>Būvdarbi – betona platformas un pamatnes izbūvei LOXM gāzu padeves sistēmas tvertnes uzstādīšanai</t>
  </si>
  <si>
    <t>Piekļuves kontroles sistēmas slimnīcas durvīm iestādes iekšējo pacientu plūsmu atdalīšanai un kontrolei</t>
  </si>
  <si>
    <t>Pacienta vitālo funkciju parametru monitori (komplektācija)  ar piederumiem
(Philips, IntelliVue X3, 2020.gads)</t>
  </si>
  <si>
    <t>Centrālā novērošanas sistēma (koplektācija) (Philips, Information Center iX, 2020.gads)</t>
  </si>
  <si>
    <t>Mākslīgās plaušu ventilācijas ierīce tipa Hamilton C1</t>
  </si>
  <si>
    <t>Mākslīgās plaušu ventilācijas ierīce tipa Hamilton C6</t>
  </si>
  <si>
    <t>PICiX centrālā novērošanas stacija, struktūrvienības "Plaušu slimību un tuberkulozes centrs" Covid-19 ITN nodaļas vajadzībām</t>
  </si>
  <si>
    <t>Dozācijas sūkni struktūrvienības “Plaušu un tuberkulozes centrā” Covid-19 vienību vajadzībām</t>
  </si>
  <si>
    <t>Ventilācijas un kondicionēšanas sistēmas izveide jaunizveidotās Covid-19 vienības telpā</t>
  </si>
  <si>
    <t>Flovmetra konektori (30 gab.)</t>
  </si>
  <si>
    <t>ML100849</t>
  </si>
  <si>
    <t>19.11.2020.</t>
  </si>
  <si>
    <t>ML100371</t>
  </si>
  <si>
    <t>KFC008780</t>
  </si>
  <si>
    <t>ARB 104870</t>
  </si>
  <si>
    <t>22.12.2020.</t>
  </si>
  <si>
    <t>28.12.2020.</t>
  </si>
  <si>
    <t>13.10.2020.</t>
  </si>
  <si>
    <t>10.11.2020.</t>
  </si>
  <si>
    <t>21.12.2020.</t>
  </si>
  <si>
    <t>30.12.2020.</t>
  </si>
  <si>
    <t>SIA Tradintek</t>
  </si>
  <si>
    <t>Mākslīgās plaušas ventilācijas iekārtas gaida sildītājs un mitrinātājs</t>
  </si>
  <si>
    <t>ELAP 020614</t>
  </si>
  <si>
    <t>10.02.2021.</t>
  </si>
  <si>
    <t>SIA "NMS Elpa"</t>
  </si>
  <si>
    <t>Ārstniecības iestāde</t>
  </si>
  <si>
    <t>SIA Jēkabpils reģionālā slimnīca, reģ. Nr.50003356621</t>
  </si>
  <si>
    <t>Gultu pārprofilēšana Reanimācijas nodaļā (Kritiski smagie pacienti)</t>
  </si>
  <si>
    <t>Pacientu vitālo funkciju novērošanas monitori</t>
  </si>
  <si>
    <t>Vakuuma sūknis (sūknis-ežektors)</t>
  </si>
  <si>
    <t>Perfuzora bloks</t>
  </si>
  <si>
    <t>18.02.2021.</t>
  </si>
  <si>
    <t>B.BRAUN MEDICAL SIA</t>
  </si>
  <si>
    <t>Pacientu multifunkcionālās intensīvās terapijas gultas</t>
  </si>
  <si>
    <t>Defibrilators ar transtorakālās stimulācijas funkciju</t>
  </si>
  <si>
    <t>Vakumsūknis elektriskais ar statīvu</t>
  </si>
  <si>
    <t>Plaukti medicīnas precēm, aprīkojumam pārģērbšanās zonā</t>
  </si>
  <si>
    <t>Pacienta skapītis pie gultas</t>
  </si>
  <si>
    <t>Pacientu aprūpes galdiņi</t>
  </si>
  <si>
    <t>Procedūru galdiņš</t>
  </si>
  <si>
    <t>Medikamentu galdiņš</t>
  </si>
  <si>
    <t>Atkritumu tvertnes ar vāku un pedāli</t>
  </si>
  <si>
    <t>Profiks CLEAN SIA</t>
  </si>
  <si>
    <t>01.03.2021.</t>
  </si>
  <si>
    <t>TRADINTEK SIA</t>
  </si>
  <si>
    <t>HFOT opcija priekš Bellavista MPV iekārtas* - augstas plūsmas skābekļa terapijas nodrošināšanai</t>
  </si>
  <si>
    <t>Plūsmas sensoru iepakojums Bellavista ventilatoram</t>
  </si>
  <si>
    <t>Gultu pārprofilēšana Infekciju nodaļā (25), Uroloģijas nodaļā (15), COVID-19 II terapijas nodaļā (25) vidēji smagas ar riska faktoriem un smagas COVID-19 norises gaitas pacientiem - kopā 65 gultasvietas.</t>
  </si>
  <si>
    <t>Aizsargspilvendrānas</t>
  </si>
  <si>
    <t>Augstas plūsmas O2 aparāts</t>
  </si>
  <si>
    <t>Rokas elpināšanas maisi daudzreiz lietojami</t>
  </si>
  <si>
    <t>26.02.2021.</t>
  </si>
  <si>
    <t>Unikon SIA</t>
  </si>
  <si>
    <t>Portatīvā anestēzijas-sedācijas manuālās elpošanas kontūras ierīce</t>
  </si>
  <si>
    <t xml:space="preserve">Videolaringoskopijas sistēma </t>
  </si>
  <si>
    <t>Grūtās intubācijas procedūru galds</t>
  </si>
  <si>
    <t>Darba apavu pāri (piemēram krokši)</t>
  </si>
  <si>
    <t>Ēdienu sadales rati</t>
  </si>
  <si>
    <t>Pacientu multifunkcionālās gultas</t>
  </si>
  <si>
    <t>Gultas veļas komplekts (spilvendrāna, palags, puspalags, pārvalks)</t>
  </si>
  <si>
    <t>EGLE RIS SIA</t>
  </si>
  <si>
    <t>Infūziju sistēmu statīvi</t>
  </si>
  <si>
    <t>Medikamentu skapis</t>
  </si>
  <si>
    <t>Pacientu aprūpes galdiņš</t>
  </si>
  <si>
    <t>Pacientu monitori  vitālo funkciju novērošanai ar statīvu un grozu</t>
  </si>
  <si>
    <t>Pacientu  vitālo funkciju centrālās novērošanas stacija ar licenzēm</t>
  </si>
  <si>
    <t>08.02.2021.</t>
  </si>
  <si>
    <t>MEDILINK SIA</t>
  </si>
  <si>
    <t>12.03.20.77393</t>
  </si>
  <si>
    <t>Pacientu multifunkcionāli transportēšanas rati</t>
  </si>
  <si>
    <t>Pacientu transportkrēsli</t>
  </si>
  <si>
    <t>Perfuzoru bloks (4 perfuzoru ievietošanai)</t>
  </si>
  <si>
    <t>Plaukti medicīnas precēm/aprīkojumam pārģērbšanā zonā</t>
  </si>
  <si>
    <t>Procedūru galds ar atvilknēm un plauktiem</t>
  </si>
  <si>
    <t>Pacientu segas</t>
  </si>
  <si>
    <t>Pacientu skapītis pie gultas</t>
  </si>
  <si>
    <t>Pacientu spilveni</t>
  </si>
  <si>
    <t>Tualetes krēsli</t>
  </si>
  <si>
    <t>Veļas savākšanas rati</t>
  </si>
  <si>
    <t>10.03.2021.</t>
  </si>
  <si>
    <t>ANITRA SIA</t>
  </si>
  <si>
    <t>Hemodialīzes kabineta nodrošinājums</t>
  </si>
  <si>
    <t xml:space="preserve">Kabineta remontdarbi </t>
  </si>
  <si>
    <t xml:space="preserve">Pacientu multifunkcionālās gultas </t>
  </si>
  <si>
    <t>Novērošanas kameras</t>
  </si>
  <si>
    <t>Pacientu informatīvais sienas monitors</t>
  </si>
  <si>
    <t>Veļas mazgājamā mašīna</t>
  </si>
  <si>
    <t>AM210200512</t>
  </si>
  <si>
    <t>24.02.2021.</t>
  </si>
  <si>
    <t>SIA "A.Medical"</t>
  </si>
  <si>
    <t>AM201200652</t>
  </si>
  <si>
    <t>29.12.2020.</t>
  </si>
  <si>
    <t>SIA 'A.Medical"</t>
  </si>
  <si>
    <t>SIA "Remedine"</t>
  </si>
  <si>
    <t>R210305-1</t>
  </si>
  <si>
    <t>05.03.2021.</t>
  </si>
  <si>
    <t>SIA "UMT"</t>
  </si>
  <si>
    <t>REM 15740</t>
  </si>
  <si>
    <t>SIA Remedine</t>
  </si>
  <si>
    <t>21-00747</t>
  </si>
  <si>
    <t xml:space="preserve">ARB 106529      </t>
  </si>
  <si>
    <t>05.02.2021.</t>
  </si>
  <si>
    <t>SIA Arbor Medical Korporācija</t>
  </si>
  <si>
    <t>21-00936</t>
  </si>
  <si>
    <t>VMB 100566</t>
  </si>
  <si>
    <t>03.03.2021.</t>
  </si>
  <si>
    <t>SIA "VITRUM mēbeles un iekārtas"</t>
  </si>
  <si>
    <t>21-01335</t>
  </si>
  <si>
    <t>PRO686902</t>
  </si>
  <si>
    <t>15.02.2021.</t>
  </si>
  <si>
    <t>SIA Profiks Clean</t>
  </si>
  <si>
    <t>21-01337</t>
  </si>
  <si>
    <t>Tiek plānots sistēmas uzlabošanas risinājums.</t>
  </si>
  <si>
    <t>DKM-202100190</t>
  </si>
  <si>
    <t>25.02.2021.</t>
  </si>
  <si>
    <t>SIA Datakom</t>
  </si>
  <si>
    <t>21-01344</t>
  </si>
  <si>
    <r>
      <t xml:space="preserve">Piederumi mākslīgās plaušu ventilācijas iekārtām (invazīvas) </t>
    </r>
    <r>
      <rPr>
        <u/>
        <sz val="12"/>
        <color theme="1"/>
        <rFont val="Times New Roman"/>
        <family val="1"/>
      </rPr>
      <t>- centralizēti iepērk Nacionālais veselības dienests</t>
    </r>
  </si>
  <si>
    <t>Piederumi saņemti kopā ar iekārtām 05.01.2021.
Plānotās summas netiek iekļautas līdzekļu izlietojumu atskaitē, ņemot vērā, ka SIA "Vidzemes slimnīca" nav veikusi piederumu apmaksu un noslēgtajā līgumā nav iekļautas šīs pozīcijas.</t>
  </si>
  <si>
    <r>
      <t xml:space="preserve">Piederumi mākslīgās plaušu ventilācijas iekārtām (neinvazīvas) - </t>
    </r>
    <r>
      <rPr>
        <u/>
        <sz val="12"/>
        <color theme="1"/>
        <rFont val="Times New Roman"/>
        <family val="1"/>
        <charset val="186"/>
      </rPr>
      <t>centralizēti iepērk Nacionālais veselības dienests</t>
    </r>
  </si>
  <si>
    <t xml:space="preserve">Sabiedrība ar ierobežotu atbildību "RĒZEKNES SLIMNĪCA" </t>
  </si>
  <si>
    <t>Augstas plūsmas skābekļa terapijas sistēma</t>
  </si>
  <si>
    <t>Norit iepirkumu procedūra, tiek veikta piedāvājumu izvērtēšana, līguma parakstīšana</t>
  </si>
  <si>
    <t>285236 BLV</t>
  </si>
  <si>
    <t>23.02.2021.</t>
  </si>
  <si>
    <t>Iepirkuma līgums Nr. RS 2021/35 noslēgts 10.02.2021.
Līguma izpildīts</t>
  </si>
  <si>
    <t>Statīvi (perfuzoriem)</t>
  </si>
  <si>
    <t>285895 BLV</t>
  </si>
  <si>
    <t>Iepirkuma līgums Nr. RS 2021/36 noslēgts 10.02.2021.
Līguma izpildīts</t>
  </si>
  <si>
    <t>Stetoskops</t>
  </si>
  <si>
    <t>MDQ-000054206</t>
  </si>
  <si>
    <t>Iepirkuma līgums Nr. RS 2021/37 noslēgts 10.02.2021.
Līguma izpildīts</t>
  </si>
  <si>
    <t>Pretizgulējuma matracis</t>
  </si>
  <si>
    <t xml:space="preserve">Aizslietnis divdaļīgs </t>
  </si>
  <si>
    <t xml:space="preserve">CO2 un skābekļa telpas monitoru sistēma (bāzes stacijas un komutācijas iekārtas) </t>
  </si>
  <si>
    <t>Manipulāciju galdiņi</t>
  </si>
  <si>
    <t>Transportēšanas guļrati</t>
  </si>
  <si>
    <t>Sēžamrati</t>
  </si>
  <si>
    <t>Slūžas</t>
  </si>
  <si>
    <t>Uzkopšanas rati</t>
  </si>
  <si>
    <t>Portatīvā tualete</t>
  </si>
  <si>
    <t>Termoss (2l)</t>
  </si>
  <si>
    <t>Iepirkuma līgums Nr. RS 2021/33 noslēgts 10.02.2021.
Līguma izpilde paredzēta līdz 10.03.2021.</t>
  </si>
  <si>
    <t>285484 BLV</t>
  </si>
  <si>
    <t>ARB 106917</t>
  </si>
  <si>
    <t>ELPA 020664</t>
  </si>
  <si>
    <t>AMR-00605</t>
  </si>
  <si>
    <t>BM 210093</t>
  </si>
  <si>
    <t>ILX210624530</t>
  </si>
  <si>
    <t>ABMG210322</t>
  </si>
  <si>
    <t>ELPA 020665</t>
  </si>
  <si>
    <t>TR 211174</t>
  </si>
  <si>
    <t>ARB 107249</t>
  </si>
  <si>
    <t>AM 1102</t>
  </si>
  <si>
    <t>SIA "AIRMED" reģistrācijas Nr. 40103751711</t>
  </si>
  <si>
    <t>Iepirkums pabeigts.                 Plānojot nepieciešamos iepirkumus COVID-19 nodaļas izveidei nebija ieplānoti 5 statīvi monitoriem par kopējo summu 1633.50 Eiro</t>
  </si>
  <si>
    <t>ARB 104702</t>
  </si>
  <si>
    <t>Iepirkums pabeigts.                   Plānojot nepieciešamos iepirkumus COVID-19 nodaļas izveidei nebija ieplānots statīvs iekārtai, maskas un kanilas par kopējo summu 1786.50 Eiro</t>
  </si>
  <si>
    <t>ARB 107432</t>
  </si>
  <si>
    <t>02.03.2021.</t>
  </si>
  <si>
    <t>Iepirkums pabeigts.                Starpiba ir revers. PVN 195.72 saskaņā ar PVN likuma 143.1.pants, kas parādās kopējā summā PVN atskaitē</t>
  </si>
  <si>
    <t>neapmaksājamā daļa (virs līguma summas)</t>
  </si>
  <si>
    <t>Budžeta kods</t>
  </si>
  <si>
    <t>C-NVD-1</t>
  </si>
  <si>
    <t>C-NVD-2</t>
  </si>
  <si>
    <t>C-NVD-3</t>
  </si>
  <si>
    <t>TEN23-21</t>
  </si>
  <si>
    <t>02.02.2021.</t>
  </si>
  <si>
    <t>SIA TENTI LV</t>
  </si>
  <si>
    <t>C-NVD-4</t>
  </si>
  <si>
    <t>C-NVD-5</t>
  </si>
  <si>
    <t>C-NVD-6</t>
  </si>
  <si>
    <t>C-NVD-7</t>
  </si>
  <si>
    <t>C-NVD-8</t>
  </si>
  <si>
    <t>Mākslīgās plaušu ventilācijas (MPV) iekārtas ar neinvazīvās ventilācijas režīmu un High flow režīmu</t>
  </si>
  <si>
    <t>GRAINALV107</t>
  </si>
  <si>
    <t>01.02.2021.</t>
  </si>
  <si>
    <t>UAB GRAINA</t>
  </si>
  <si>
    <t>C-NVD-9</t>
  </si>
  <si>
    <t>ARB107312</t>
  </si>
  <si>
    <t>SIA Arbor Medical korporācija</t>
  </si>
  <si>
    <t>C-NVD-10</t>
  </si>
  <si>
    <t>C-NVD-11</t>
  </si>
  <si>
    <t>C-NVD-12</t>
  </si>
  <si>
    <t>C-NVD-13</t>
  </si>
  <si>
    <t>284913 BLV</t>
  </si>
  <si>
    <t>16.02.2021.</t>
  </si>
  <si>
    <t>SIA B.BRAUN MEDICAL</t>
  </si>
  <si>
    <t>C-NVD-14</t>
  </si>
  <si>
    <t>C-NVD-15</t>
  </si>
  <si>
    <t>C-NVD-16</t>
  </si>
  <si>
    <t>C-NVD-17</t>
  </si>
  <si>
    <t>MED 210284</t>
  </si>
  <si>
    <t>04.02.2021.</t>
  </si>
  <si>
    <t>SIA Medeksperts</t>
  </si>
  <si>
    <t>C-NVD-18</t>
  </si>
  <si>
    <t>KJS 210267</t>
  </si>
  <si>
    <t>SIA KJ Serviss</t>
  </si>
  <si>
    <t>C-NVD-19</t>
  </si>
  <si>
    <t>ELPA 020678</t>
  </si>
  <si>
    <t>SIA NMS ELPA</t>
  </si>
  <si>
    <t>C-NVD-20</t>
  </si>
  <si>
    <t>PEA210043</t>
  </si>
  <si>
    <t>SIA PEAN</t>
  </si>
  <si>
    <t>C-NVD-21</t>
  </si>
  <si>
    <t>C-NVD-22</t>
  </si>
  <si>
    <t>ELPA 020567</t>
  </si>
  <si>
    <t>C-NVD-23</t>
  </si>
  <si>
    <t>C-NVD-24</t>
  </si>
  <si>
    <t>1063016883, 1063016884</t>
  </si>
  <si>
    <t>Siemens Healthcare Oy Latvijas filiāle</t>
  </si>
  <si>
    <t>C-NVD-25</t>
  </si>
  <si>
    <t>146/2021</t>
  </si>
  <si>
    <t>C-NVD-26</t>
  </si>
  <si>
    <t>C-NVD-27</t>
  </si>
  <si>
    <t>PRGM293895</t>
  </si>
  <si>
    <t>SIA Medilink</t>
  </si>
  <si>
    <t>C-NVD-28</t>
  </si>
  <si>
    <t>C-NVD-29</t>
  </si>
  <si>
    <t>C-NVD-30</t>
  </si>
  <si>
    <t>18.12.2020.</t>
  </si>
  <si>
    <t>ELPA 020935</t>
  </si>
  <si>
    <t>19.03.2021.</t>
  </si>
  <si>
    <t>21-01652</t>
  </si>
  <si>
    <t>ARB 107731</t>
  </si>
  <si>
    <t>09.03.2021.</t>
  </si>
  <si>
    <t>21-01634</t>
  </si>
  <si>
    <t>ARB 108238</t>
  </si>
  <si>
    <t>21-01650</t>
  </si>
  <si>
    <t>21-00676</t>
  </si>
  <si>
    <t>ELPA 020946</t>
  </si>
  <si>
    <t>23.03.2021.</t>
  </si>
  <si>
    <t>21-01651</t>
  </si>
  <si>
    <t>Pozīcija izpildīta, atskaite martā.</t>
  </si>
  <si>
    <t>ELPA020850</t>
  </si>
  <si>
    <t>11.03.2021.</t>
  </si>
  <si>
    <t>Ir noslēgts līgums R1S-53/2021 UAB GRAINA, Preces saņēmtas un samaksātas</t>
  </si>
  <si>
    <t>GRAINALV122</t>
  </si>
  <si>
    <t>ARB108531</t>
  </si>
  <si>
    <t>22.03.2021.</t>
  </si>
  <si>
    <t xml:space="preserve">Ir noslēgts līgums R1S-68/2021 SIA ARBOR MEDICAL KORPORĀCIJA, preces saņemtas, apmaksas termiņš 22.04.2021. </t>
  </si>
  <si>
    <t>KJS 210418</t>
  </si>
  <si>
    <t>16.03.2021.</t>
  </si>
  <si>
    <t>Ir noslēgts līgums R1S-59/2021 SIA Medeksperts,Preces saņēmtas un samaksātas</t>
  </si>
  <si>
    <t>Ir noslēgts līgums R1S-69/2021 SIA PEAN, Preces saņēmtas un samaksātas</t>
  </si>
  <si>
    <t>18.03.2021.</t>
  </si>
  <si>
    <t>KJS 210420</t>
  </si>
  <si>
    <t>17.03.2021.</t>
  </si>
  <si>
    <t>TR211249</t>
  </si>
  <si>
    <t>Tradintek SIA</t>
  </si>
  <si>
    <t>Ir noslēgts līgums R1S-71/2021 SIA Tradintek, preces saņemtas, apmaksas termiņš 21.04.2021.</t>
  </si>
  <si>
    <t>Ir noslēgts līgums R1S-52/2021  SIA B.BRAUN MEDICAL, Preces saņēmtas un samaksātas. Pavadzīmes summa bez PVN.</t>
  </si>
  <si>
    <t>Ir noslēgts līgums R1S-60/21 SIA KJ Serviss, Preces saņēmtas un samaksātas. Pavadzīmes summa bez PVN.</t>
  </si>
  <si>
    <t>MDQ-000054292</t>
  </si>
  <si>
    <t>ARB 108118</t>
  </si>
  <si>
    <t>Līgums noslēgts 05.02.2021. Piegādāts 17.03.2021, samaksāts 25.03.2021</t>
  </si>
  <si>
    <t>ELPA 020890</t>
  </si>
  <si>
    <t>Līgums noslēgts 05.02.2021., piegādāts 15.03.2021, samaksāts 25.03.2021</t>
  </si>
  <si>
    <t>AM210300178</t>
  </si>
  <si>
    <t>Līgums noslēgts 05.02.2021., piegādāts 08.03.2021, apmaksāts 22.03.2021</t>
  </si>
  <si>
    <t>ARB 107463</t>
  </si>
  <si>
    <t>Līgums noslēgts 05.02.2021., piegādāts 08.03., samaksāts 11.03.2021</t>
  </si>
  <si>
    <t>ABMG 210477</t>
  </si>
  <si>
    <t>Līgums noslēgts 05.02.2021.Piegādāts 17.03.2021, apmaksāts 25.03.2021</t>
  </si>
  <si>
    <t xml:space="preserve">Līgums noslēgts 05.02.2021., piegādāts 15.03.2021,samaksāts 25.03.2021 </t>
  </si>
  <si>
    <t>ELPA 021012</t>
  </si>
  <si>
    <t>00023, S00039</t>
  </si>
  <si>
    <t>Līgums noslēgts 05.02.2021., piegādāts 23.03., samaksāts 30.03.2021</t>
  </si>
  <si>
    <t>PVN maksājums valsts budžetā</t>
  </si>
  <si>
    <t>Samaksāts 06.04.2021.</t>
  </si>
  <si>
    <t>Plānotā summa 
(ar PVN), EUR</t>
  </si>
  <si>
    <t>Summa 
(ar PVN) EUR</t>
  </si>
  <si>
    <t>Sabiedrība ar ierobežotu atbildību "B.BRAUN MEDICAL", 
reģ.Nr. 40003277955</t>
  </si>
  <si>
    <t>Sabiedrība ar ierobežotu atbildību "B.BRAUN MEDICAL",
reģ.Nr. 40003277955</t>
  </si>
  <si>
    <r>
      <t xml:space="preserve">SIA </t>
    </r>
    <r>
      <rPr>
        <sz val="11.5"/>
        <color rgb="FF000000"/>
        <rFont val="Times New Roman"/>
        <family val="1"/>
      </rPr>
      <t>„</t>
    </r>
    <r>
      <rPr>
        <sz val="11.5"/>
        <color theme="1"/>
        <rFont val="Times New Roman"/>
        <family val="1"/>
      </rPr>
      <t>Mediq Latvija”, 
reģ.Nr. 40103295181</t>
    </r>
  </si>
  <si>
    <t>TR 211173</t>
  </si>
  <si>
    <t>"TRADINTEK" SIA, 
reģ.Nr. 40003308634</t>
  </si>
  <si>
    <t>SIA "B.Braun Medical"</t>
  </si>
  <si>
    <t>00615</t>
  </si>
  <si>
    <t>08.03.2021.</t>
  </si>
  <si>
    <t>15.03.2021.</t>
  </si>
  <si>
    <t>06.04.21.077716</t>
  </si>
  <si>
    <t>06.04.21.077717</t>
  </si>
  <si>
    <t>25.03.2021.</t>
  </si>
  <si>
    <t>06.04.21.077710</t>
  </si>
  <si>
    <t>PULSAR-RIGA SIA</t>
  </si>
  <si>
    <t>KJ SERVISS SIA</t>
  </si>
  <si>
    <t>31.03.2021.</t>
  </si>
  <si>
    <t>PROLUX SIA</t>
  </si>
  <si>
    <t>SIA "Ludzas medicīnas centrs"</t>
  </si>
  <si>
    <t>Pārvietojama palātas RTG iekārta</t>
  </si>
  <si>
    <t>TR210038</t>
  </si>
  <si>
    <t>SIA "Tradintek"</t>
  </si>
  <si>
    <t>Pacientu svarīgo dzīvības funkciju novērošanas monitors</t>
  </si>
  <si>
    <t>Skābekļa padeves plūsmas mērītājs ar mitrinātāju</t>
  </si>
  <si>
    <t>Infūzijas sūknis</t>
  </si>
  <si>
    <t>Portatīva mākslīgas plaušu ventilācijas iekārta</t>
  </si>
  <si>
    <t>ARB108831</t>
  </si>
  <si>
    <t>SIA "Arbor Medical Korporācija"</t>
  </si>
  <si>
    <t>Pacientu gultas</t>
  </si>
  <si>
    <t>Medicīniskais saspiesta gaisa kompresors</t>
  </si>
  <si>
    <t>AMR-00650</t>
  </si>
  <si>
    <t>SIA "AMRID"</t>
  </si>
  <si>
    <t xml:space="preserve">Pacientu transportēšanas rati </t>
  </si>
  <si>
    <t>SIA Aizkraukles slimnīca</t>
  </si>
  <si>
    <t>Pārprofilētas 40 gultas</t>
  </si>
  <si>
    <t>EKG aparāti</t>
  </si>
  <si>
    <t>Vakuumsūknis</t>
  </si>
  <si>
    <t>Monitori</t>
  </si>
  <si>
    <t>O2 mitrinātājpudeles</t>
  </si>
  <si>
    <t xml:space="preserve">GUG-0002 </t>
  </si>
  <si>
    <t xml:space="preserve">08.06.2020.                                                                                                             </t>
  </si>
  <si>
    <t xml:space="preserve">SIA Gugols                      </t>
  </si>
  <si>
    <t>20-25684</t>
  </si>
  <si>
    <t>Iegādāti 10 gab</t>
  </si>
  <si>
    <t>GUG-00010</t>
  </si>
  <si>
    <t>11.01.2021.</t>
  </si>
  <si>
    <t>21-27118</t>
  </si>
  <si>
    <t>Gāzu analizators</t>
  </si>
  <si>
    <t>Infūziju statīvs</t>
  </si>
  <si>
    <t>ARB 106083</t>
  </si>
  <si>
    <t xml:space="preserve">SIA Arbor Medical Korporācija </t>
  </si>
  <si>
    <t>21-27181</t>
  </si>
  <si>
    <t>Augstas plūsmas nazāļo kaniļu iekārtas</t>
  </si>
  <si>
    <t>ONE-000360011</t>
  </si>
  <si>
    <t>25.03.2020.</t>
  </si>
  <si>
    <t xml:space="preserve">SIA Onemed </t>
  </si>
  <si>
    <t>20-25288</t>
  </si>
  <si>
    <t>Iegādāti 3 gab</t>
  </si>
  <si>
    <t xml:space="preserve">ONE-000366351 </t>
  </si>
  <si>
    <t xml:space="preserve">09.12.2020. </t>
  </si>
  <si>
    <t>20-26861</t>
  </si>
  <si>
    <t xml:space="preserve">ONE-000366487 </t>
  </si>
  <si>
    <t xml:space="preserve">15.12.2020. </t>
  </si>
  <si>
    <t>20-26931</t>
  </si>
  <si>
    <t xml:space="preserve">ONE-000367347         </t>
  </si>
  <si>
    <t xml:space="preserve">01.02.2021.                </t>
  </si>
  <si>
    <t>21-27234</t>
  </si>
  <si>
    <t>Iegādāti 2 gab</t>
  </si>
  <si>
    <t>Tonometrs</t>
  </si>
  <si>
    <t xml:space="preserve">25.03.2020. </t>
  </si>
  <si>
    <t>15.12.2020.</t>
  </si>
  <si>
    <t>Oksimetrs</t>
  </si>
  <si>
    <t>ONE-000366461</t>
  </si>
  <si>
    <t>Ratiņkrēsli</t>
  </si>
  <si>
    <t>Pacientu guļrati</t>
  </si>
  <si>
    <t>Baktericīdās lampas</t>
  </si>
  <si>
    <t>SHV005534</t>
  </si>
  <si>
    <t xml:space="preserve">SIA Shevlad </t>
  </si>
  <si>
    <t>20-26944</t>
  </si>
  <si>
    <t>Dušas krēsli</t>
  </si>
  <si>
    <t xml:space="preserve">KDLV21 Nr.118 </t>
  </si>
  <si>
    <t>SIA Kid-man Latvija</t>
  </si>
  <si>
    <t>21-27188</t>
  </si>
  <si>
    <t>Iegādāti 5 gab</t>
  </si>
  <si>
    <t>Rolatori</t>
  </si>
  <si>
    <t>Staigājamie rāmji</t>
  </si>
  <si>
    <t>Procedūru galdiņi</t>
  </si>
  <si>
    <t>Elpa 020902</t>
  </si>
  <si>
    <t>SIA NMS Elpa</t>
  </si>
  <si>
    <t>21-27531</t>
  </si>
  <si>
    <t>SIA NMS Elpa līgums noslēgts 25.01.2021., piegādāti 2 gab. 18.03.2021.</t>
  </si>
  <si>
    <t>ARB 106390</t>
  </si>
  <si>
    <t>03.02.2021.</t>
  </si>
  <si>
    <t>21-27251</t>
  </si>
  <si>
    <t xml:space="preserve">SIA Arbor Medical Korporācija līgums noslēgts 02.02.2021.; piegādāti 2 gab. 03.02.2021.                                  </t>
  </si>
  <si>
    <t>Elpa 020557</t>
  </si>
  <si>
    <t>21-27252</t>
  </si>
  <si>
    <t>SIA NMS Elpa līgums noslēgts 18.12.2020.;  piegādāti 2 gab. 04.02.2021.</t>
  </si>
  <si>
    <t>Elpa 020556</t>
  </si>
  <si>
    <t>SIA NMS Elpa līgums noslēgts 21.01.2021.;                                         piegādāti 16 gab. 04.02.2021.</t>
  </si>
  <si>
    <t xml:space="preserve"> Nr.2 Priekšapmaksa Nr.067/2021</t>
  </si>
  <si>
    <t>ELV205283</t>
  </si>
  <si>
    <t>SIA ELVIM</t>
  </si>
  <si>
    <t>21-27300</t>
  </si>
  <si>
    <t>Iegādāti 6 gab</t>
  </si>
  <si>
    <t>GG21 00573</t>
  </si>
  <si>
    <t>22.02.2021.</t>
  </si>
  <si>
    <t>SIA Golan Group</t>
  </si>
  <si>
    <t>21-27366</t>
  </si>
  <si>
    <t>SIA Golan Group līgums noslēgts  20.01.2021.; piegādāti 2 gab. 22.02.2021.</t>
  </si>
  <si>
    <t>ON 2000600</t>
  </si>
  <si>
    <t>SIA ONRO</t>
  </si>
  <si>
    <t>SIA Onro līgums 20.01.2021. Piegādāts 1 gab. 16.03.2021.</t>
  </si>
  <si>
    <t>SIA Golan Group līgums noslēgts 20.01.2021.; piegādāti 5 gab. 22.02.2021.</t>
  </si>
  <si>
    <t>SIA Onro līgums noslēgts 20.01.2021.; piegādāti 5 gab. 16.03.2021.</t>
  </si>
  <si>
    <t>SIA Golan Group līgums noslēgts 20.01.2021.; piegādāti 4 gab. 22.02.2021.</t>
  </si>
  <si>
    <t>GG21 00723</t>
  </si>
  <si>
    <t>21-27443</t>
  </si>
  <si>
    <t>Piegādāts 1 gab. 03.03.2021.</t>
  </si>
  <si>
    <t>SIA Golan Group līgums noslēgts 20.01.2021.;piegādāti 2 gab. 22.02.2021.</t>
  </si>
  <si>
    <t>maijs</t>
  </si>
  <si>
    <t>Pozīcija izpildīta, atskaite aprīlī.</t>
  </si>
  <si>
    <t>TR211344</t>
  </si>
  <si>
    <t>20.04.2021.</t>
  </si>
  <si>
    <t>21-02307</t>
  </si>
  <si>
    <t>ELPA021183</t>
  </si>
  <si>
    <t>21.04.2021.</t>
  </si>
  <si>
    <t>NMS ELPA SIA</t>
  </si>
  <si>
    <t>21-02291</t>
  </si>
  <si>
    <t xml:space="preserve">ARB 109098      </t>
  </si>
  <si>
    <t>13.04.2021.</t>
  </si>
  <si>
    <t>21-02308</t>
  </si>
  <si>
    <t>GRAINALV135</t>
  </si>
  <si>
    <t>12.04.2021.</t>
  </si>
  <si>
    <t>UAB GRAINA Latvia- filiāle</t>
  </si>
  <si>
    <t>21-02311</t>
  </si>
  <si>
    <t>287763 BLV</t>
  </si>
  <si>
    <t>SIA B.Braun Medical</t>
  </si>
  <si>
    <t>21-02272</t>
  </si>
  <si>
    <t>ARB 108871</t>
  </si>
  <si>
    <t>07.04.2021.</t>
  </si>
  <si>
    <t>21-02218</t>
  </si>
  <si>
    <t>ARB 108872</t>
  </si>
  <si>
    <t>EGLE 01869</t>
  </si>
  <si>
    <t>22.04.2021.</t>
  </si>
  <si>
    <t>SIA "EGLE RIS"</t>
  </si>
  <si>
    <t>21-02309</t>
  </si>
  <si>
    <t>UPS 210080</t>
  </si>
  <si>
    <t>UPS Serviss Centrs SIA</t>
  </si>
  <si>
    <t>21-02310</t>
  </si>
  <si>
    <t>DKM-202100454</t>
  </si>
  <si>
    <t>21-02213</t>
  </si>
  <si>
    <t>GRAINALV132</t>
  </si>
  <si>
    <t>06.04.2021.</t>
  </si>
  <si>
    <t xml:space="preserve">  28.01.2021.</t>
  </si>
  <si>
    <t xml:space="preserve">  15.01.2021.</t>
  </si>
  <si>
    <t>ELPA 021062</t>
  </si>
  <si>
    <t>SIA "Daugavpils reģionālā slimnīca"</t>
  </si>
  <si>
    <t>Summa    (ar PVN) EUR</t>
  </si>
  <si>
    <t>U21 3337</t>
  </si>
  <si>
    <t>SIA "UniKon"</t>
  </si>
  <si>
    <t xml:space="preserve">Pieņemšanas-nodošanas akts no 2.03.2021. </t>
  </si>
  <si>
    <t>287297 BLV</t>
  </si>
  <si>
    <t>01.04.2021.</t>
  </si>
  <si>
    <t xml:space="preserve">Pieņemšanas-nodošanas akts no 1.04.2021. </t>
  </si>
  <si>
    <t>287298 BLV</t>
  </si>
  <si>
    <t>Pārvietojamā palātas rentgeniekārta ar jaudu ne mazāk kā 32 kW, ar kopējo svars ne vairāk kā 200 kg., ar maksimālo detektora svara slodze ni mazāk kā 150  kg., ar viegli maināmiem  akumulatoriem</t>
  </si>
  <si>
    <t>TR 210037</t>
  </si>
  <si>
    <t xml:space="preserve">Pieņemšanas-nodošanas akts no 18.03.2021. </t>
  </si>
  <si>
    <t>DAN 001-01/2021</t>
  </si>
  <si>
    <t>8.01.2021.</t>
  </si>
  <si>
    <t>SIA "DAN"</t>
  </si>
  <si>
    <t>TR 200256</t>
  </si>
  <si>
    <t>ARB 103617</t>
  </si>
  <si>
    <t>6.11.2020.</t>
  </si>
  <si>
    <t>Reķ.Nr.6721745262</t>
  </si>
  <si>
    <t>SIA "Linde Gas"</t>
  </si>
  <si>
    <t>Reķ.Nr.141</t>
  </si>
  <si>
    <t>8.12.2020.</t>
  </si>
  <si>
    <t>SIA "Energobaltika"</t>
  </si>
  <si>
    <t>Rēķ.Nr.APS/20 351</t>
  </si>
  <si>
    <t>27.10.2020.</t>
  </si>
  <si>
    <t>SIA "Apsardzes serviss"</t>
  </si>
  <si>
    <t xml:space="preserve"> </t>
  </si>
  <si>
    <t>Rēķ.Nr.APS/20 364</t>
  </si>
  <si>
    <t>Pacienta vitālo funkciju parametru monitori (komplektācija)  ar piederumiem 
(Philips, IntelliVue X3, 2020.gads, EKG, SpO2, NBP, IBP (līdz 2 kanāliem),
Resp, Temperatūra, 5 novadījumu EKG kabelis, SpO2 sensors,
2 izmēru manžetes u.t.t.) Uzņemšanas nodaļā un Covid-19 vienībā</t>
  </si>
  <si>
    <t>ARB 101585</t>
  </si>
  <si>
    <t>ARB 105120</t>
  </si>
  <si>
    <t>ARB 105121</t>
  </si>
  <si>
    <t>Pacienta vitālo funkciju parametru monitori (komplektācija)  ar piederumiem 
(Philips, IntelliVue X3, 2020.gads, EKG, SpO2, NBP, IBP (līdz 2 kanāliem),
Resp, Temperatūra, 5 novadījumu EKG kabelis, SpO2 sensors,
2 izmēru manžetes u.t.t.) Observācijas vienību un Covid-19 ITN nodaļas vajadzībām</t>
  </si>
  <si>
    <t>SIA "Karme Filtrs"</t>
  </si>
  <si>
    <t>SIA "Dayton"</t>
  </si>
  <si>
    <t>16.07.2020.</t>
  </si>
  <si>
    <t>AGG Nr.000198</t>
  </si>
  <si>
    <t>SIA "Aglar"</t>
  </si>
  <si>
    <t>MED 210849</t>
  </si>
  <si>
    <t>08.04.2021.</t>
  </si>
  <si>
    <t>21-27680</t>
  </si>
  <si>
    <t>SIA Medeksperts līgums noslēgts 02.02.2021.. Piegādāts 1 gab. 08.04.2021</t>
  </si>
  <si>
    <t>Elpa 021168</t>
  </si>
  <si>
    <t>16.04.2021.</t>
  </si>
  <si>
    <t>21-27788</t>
  </si>
  <si>
    <t>SIA NMS Elpa līgums noslēgts 02.02.2021. Piegādāti 5 gab. 20.04.2021.</t>
  </si>
  <si>
    <t>R210420-1</t>
  </si>
  <si>
    <t xml:space="preserve">SIA "UMT" </t>
  </si>
  <si>
    <t>30.04.21.078518</t>
  </si>
  <si>
    <t>IZPILDĪTS</t>
  </si>
  <si>
    <t>021227</t>
  </si>
  <si>
    <t>NMS ELPA</t>
  </si>
  <si>
    <t>26.04.2021.</t>
  </si>
  <si>
    <t>ARBOR MEDICAL KORPORĀCIJA SIA</t>
  </si>
  <si>
    <t>30.04.21.078656</t>
  </si>
  <si>
    <t>15.04.21.078308</t>
  </si>
  <si>
    <t>30.04.21.078517</t>
  </si>
  <si>
    <t>30.04.21.078655</t>
  </si>
  <si>
    <t>30.04.21.078515</t>
  </si>
  <si>
    <t>27.04.2021.</t>
  </si>
  <si>
    <t>TEIDA UAB</t>
  </si>
  <si>
    <t>Līgums noslēgts 05.02.2021., piegādāts 30.03.2021, apmaksāts 23.04.2021.</t>
  </si>
  <si>
    <t>ELPA 021065</t>
  </si>
  <si>
    <t>Līgums noslēgts 05.02.2021, piegādāts 30.03.2021., apmaksāts 26.04.2021</t>
  </si>
  <si>
    <t>Līgums noslēgts 05.02.2021., piegādāts 29.03.2021., apmaksāts 06.04.2021.</t>
  </si>
  <si>
    <t>R210409-9</t>
  </si>
  <si>
    <t>06108</t>
  </si>
  <si>
    <t>MED 210875</t>
  </si>
  <si>
    <t>SIA "Medeksperts"</t>
  </si>
  <si>
    <t>06116</t>
  </si>
  <si>
    <t>ARB 108968
ARB 108279</t>
  </si>
  <si>
    <t>09.04.2021
22.03.2021</t>
  </si>
  <si>
    <t>06073
05360</t>
  </si>
  <si>
    <t>ARB 108495</t>
  </si>
  <si>
    <t>05952</t>
  </si>
  <si>
    <t>ARB 108403</t>
  </si>
  <si>
    <t>ARB 109451</t>
  </si>
  <si>
    <t>06115</t>
  </si>
  <si>
    <t>TR 211201</t>
  </si>
  <si>
    <t>"TRADINTEK" SIA</t>
  </si>
  <si>
    <t>04797</t>
  </si>
  <si>
    <t>KJS 210613</t>
  </si>
  <si>
    <t>SIA "KJ Serviss"</t>
  </si>
  <si>
    <t>06090</t>
  </si>
  <si>
    <t>TR 210052</t>
  </si>
  <si>
    <t>06154</t>
  </si>
  <si>
    <t>FT211040PZPK</t>
  </si>
  <si>
    <t>KJS210827</t>
  </si>
  <si>
    <t>25.05.2021.</t>
  </si>
  <si>
    <t>Noslēgts līgums Nr.LMC2021/04/1 ar SIA "KJ Serviss" kopējā līguma summa (ieskaitot PVN) 9075,00 EUR  Iekārta piegādāta 25.05.2021.</t>
  </si>
  <si>
    <t>ELPA 021175</t>
  </si>
  <si>
    <t>Noslēgts līgums Nr.LMC2021/04/2 ar SIA "NMS ELPA " , kopējā līguma summa (ieskaitot PVN) 1996,50 EUR  Piegādāts 14.04.2021.</t>
  </si>
  <si>
    <t>TR211314</t>
  </si>
  <si>
    <t>15.04.2021.</t>
  </si>
  <si>
    <t>FT21117B48YH</t>
  </si>
  <si>
    <t>Noslēgts līgums Nr.LMC2021/04/3 ar SIA "Tradintek", kopējā līguma summa(ieskaitot PVN) 3569,50 EUR  Iekārta piegādāta 15.04.2021.</t>
  </si>
  <si>
    <t>TR211315</t>
  </si>
  <si>
    <t>FT21117H0085</t>
  </si>
  <si>
    <t>ELPA 021240</t>
  </si>
  <si>
    <t>29.04.2021.</t>
  </si>
  <si>
    <t>Noslēgts līgums Nr.LMC2021/04/7 ar SIA "NMS ELPA" ,kopējā līguma summa (ieskaitot PVN) 7541,93 EUR Iekārta  piegādāta 29.04.2021.</t>
  </si>
  <si>
    <t>Noslēgts līgums Nr.2021/04/8 ar SIA "AMRID", kopējā līguma summa (ieskaitot PVN) 14 762,00 EUR  Iekārta piegādāta 08.04.2021.</t>
  </si>
  <si>
    <t>TTR211426</t>
  </si>
  <si>
    <t>10.05.2021.</t>
  </si>
  <si>
    <t>Noslēgts līgums Nr.LMC2021/04/9 ar SIA "TRADINTEK",kopējā līguma summa(ieskaitot PVN) 5203,00 EUR  Iekārta piegādāta 10.05.2021.</t>
  </si>
  <si>
    <t>LATO Nr. 00034</t>
  </si>
  <si>
    <t>UAB Slaugivita</t>
  </si>
  <si>
    <t>21-02217</t>
  </si>
  <si>
    <t>Pozīcija izpildīta, atskaite maijā.</t>
  </si>
  <si>
    <t>KJS 210680</t>
  </si>
  <si>
    <t>05.05.2021.</t>
  </si>
  <si>
    <t>SIA KJ SERVISS</t>
  </si>
  <si>
    <t>21-02367</t>
  </si>
  <si>
    <t>Atskaite maijā.</t>
  </si>
  <si>
    <t>EGLE 01877</t>
  </si>
  <si>
    <t>28.04.2021.</t>
  </si>
  <si>
    <t>21-02366</t>
  </si>
  <si>
    <t>Pozīcija izpildīta, atskaite aprīlī un maijā.</t>
  </si>
  <si>
    <t>Līgums 23.02.2021. Nr. 1-22/25/2021., SIA "A.Medical" par summu 3242.80 EUR,Piegādāts</t>
  </si>
  <si>
    <t>DICOM Worklist tika iegādāts 29.12.2020. SIA "A.Medical" par summu 6158.90 EUR, Piegādāts</t>
  </si>
  <si>
    <t>Līgums 23.02.2021.,  Nr. 1-22/31/2021, SIA "UMT" par summu 53215.80 EUR, Piegādāts</t>
  </si>
  <si>
    <t>ARB 110059</t>
  </si>
  <si>
    <t xml:space="preserve">SIA " Arbor Medical Korporācija" </t>
  </si>
  <si>
    <t>23.02.2021. 1-22/26/2021, SIA "Arbor Medical Korporācija" 60487.90 EUR, Piegādāts</t>
  </si>
  <si>
    <t>Līgums 23.02.2021. Nr 1-22/29/2021 SIA "Remedine" par summu 474.32 EUR, Piegādāts</t>
  </si>
  <si>
    <t>Līgums 23.02.2021. Nr 1-22/27/2021 SIA "B.Braun Medical" par summu 18150.00 EUR, Piegādāts</t>
  </si>
  <si>
    <t>Līgums 23.02.2021.,  Nr. 1-22/31/2021, SIA "UMT" par summu 13249.50 EUR, Piegādāts</t>
  </si>
  <si>
    <t>Līgums 23.02.2021. Nr. 1-22/28/2021. SIA "Amrid" par summu 10285.00 EUR, Piegādāts</t>
  </si>
  <si>
    <t>Līgums 23.02.2021.,  Nr. 1-22/31/2021, SIA "UMT" par summu 1064.80 EUR, Piegādāts</t>
  </si>
  <si>
    <t>Līgums 23.02.2021. Nr. 1-22/30/2021., SIA NMS Elpa" par summu 4719.00, Piegādāts</t>
  </si>
  <si>
    <t>Līgums 23.02.2021.,  Nr. 1-22/31/2021, SIA "UMT" par summu 48279.00 EUR, Piegādāts</t>
  </si>
  <si>
    <t>Līgums 23.02.2021. Nr 1-22/29/2021 SIA "Remedine" parv summu 283.38 EUR, Piegādāts</t>
  </si>
  <si>
    <t>Līgums 23.02.2021. Nr. 1-22/30/2021., SIA NMS Elpa" par summu 7683.50,Piegādāts</t>
  </si>
  <si>
    <t>079568 26.05.21.</t>
  </si>
  <si>
    <t>26.05.21.079568</t>
  </si>
  <si>
    <t>A.MEDICAL SIA</t>
  </si>
  <si>
    <t>27.05.21.079599</t>
  </si>
  <si>
    <t>22.04.21.078531</t>
  </si>
  <si>
    <t>22.04.21.078521</t>
  </si>
  <si>
    <t>07.05.21.078699 28.05.21.PVN</t>
  </si>
  <si>
    <t>024</t>
  </si>
  <si>
    <t>BRK PROJEKTI SIA</t>
  </si>
  <si>
    <t>18.05.21.079357</t>
  </si>
  <si>
    <t>Noslēgts līgums ar JĒKABPILS PMK   21.05.2021-DARBI LĪDZ  31.10.21</t>
  </si>
  <si>
    <t>29.04.21.078520</t>
  </si>
  <si>
    <t>ARB111474</t>
  </si>
  <si>
    <t>ELPA 021275</t>
  </si>
  <si>
    <t xml:space="preserve">Pieņemšanas-nodošanas akts no 5.05.2021. </t>
  </si>
  <si>
    <t>ELPA 021330</t>
  </si>
  <si>
    <t>11.05.2021.</t>
  </si>
  <si>
    <t>GRAINALV139</t>
  </si>
  <si>
    <t>UAB Graina Latvia filiāle</t>
  </si>
  <si>
    <t>VM1821</t>
  </si>
  <si>
    <t xml:space="preserve">Pieņemšanas-nodošanas akts no 21.04.2021. </t>
  </si>
  <si>
    <t>Sabiedrība ar ierobežotu atbildību "OptiCom", 
reģ.Nr. 40003231409</t>
  </si>
  <si>
    <r>
      <rPr>
        <b/>
        <sz val="12"/>
        <rFont val="Times New Roman"/>
        <family val="1"/>
      </rPr>
      <t>IZPILDĪTS.</t>
    </r>
    <r>
      <rPr>
        <sz val="12"/>
        <rFont val="Times New Roman"/>
        <family val="1"/>
      </rPr>
      <t xml:space="preserve">
Piegādāts un apmaksāts.</t>
    </r>
  </si>
  <si>
    <t>ARB 110587</t>
  </si>
  <si>
    <t>08388</t>
  </si>
  <si>
    <t>ARB 109727</t>
  </si>
  <si>
    <t>07028</t>
  </si>
  <si>
    <t>AM210500159</t>
  </si>
  <si>
    <t>07045
07719</t>
  </si>
  <si>
    <t>ABTK 210891</t>
  </si>
  <si>
    <t>SIA "Amerikas Baltijas Tehnoloģiju Korporācjia"</t>
  </si>
  <si>
    <t>07029</t>
  </si>
  <si>
    <t>TR 210057</t>
  </si>
  <si>
    <t>07805</t>
  </si>
  <si>
    <t>jūlijs</t>
  </si>
  <si>
    <t>Sabiedrība ar ierobežotu atbildību "AB MEDICAL GROUP RIGA", reģ.Nr.40003373297</t>
  </si>
  <si>
    <t>Pozīcija izpildīta, atskaite jūnijā.</t>
  </si>
  <si>
    <t>ELPA 021408</t>
  </si>
  <si>
    <t>24.05.2021.</t>
  </si>
  <si>
    <t>21-03111</t>
  </si>
  <si>
    <t>ARB 110912</t>
  </si>
  <si>
    <t>09953</t>
  </si>
  <si>
    <t>TR 210076</t>
  </si>
  <si>
    <t>09850</t>
  </si>
  <si>
    <t>IZPILDĪTS.
Piegādāts un apmaksāts.</t>
  </si>
  <si>
    <r>
      <rPr>
        <b/>
        <sz val="12"/>
        <rFont val="Times New Roman"/>
        <family val="1"/>
      </rPr>
      <t xml:space="preserve">IZPILDĪTS.
</t>
    </r>
    <r>
      <rPr>
        <sz val="12"/>
        <rFont val="Times New Roman"/>
        <family val="1"/>
      </rPr>
      <t>Piegādāts un apmaksāts.
Attiecina 3.-6.pozīciju</t>
    </r>
  </si>
  <si>
    <r>
      <rPr>
        <b/>
        <sz val="12"/>
        <rFont val="Times New Roman"/>
        <family val="1"/>
      </rPr>
      <t xml:space="preserve">IZPILDĪTS.
</t>
    </r>
    <r>
      <rPr>
        <sz val="12"/>
        <rFont val="Times New Roman"/>
        <family val="1"/>
      </rPr>
      <t xml:space="preserve">Piegādāts un apmaksāts.
</t>
    </r>
  </si>
  <si>
    <r>
      <rPr>
        <b/>
        <sz val="12"/>
        <rFont val="Times New Roman"/>
        <family val="1"/>
      </rPr>
      <t>IZPILDĪTS.</t>
    </r>
    <r>
      <rPr>
        <sz val="12"/>
        <rFont val="Times New Roman"/>
        <family val="1"/>
      </rPr>
      <t xml:space="preserve">
Piegādāts un apmaksāts.
Attiecina PNA 1.,3.,5.,6.pozīciju</t>
    </r>
  </si>
  <si>
    <t>ARB 111082</t>
  </si>
  <si>
    <t>09952</t>
  </si>
  <si>
    <r>
      <rPr>
        <b/>
        <sz val="12"/>
        <rFont val="Times New Roman"/>
        <family val="1"/>
      </rPr>
      <t>IZPILDĪTS.</t>
    </r>
    <r>
      <rPr>
        <sz val="12"/>
        <rFont val="Times New Roman"/>
        <family val="1"/>
      </rPr>
      <t xml:space="preserve">
Piegādāts un apmaksāts.
Attiecina PNA  1.,2.,3.,6.pozīciju</t>
    </r>
  </si>
  <si>
    <r>
      <rPr>
        <b/>
        <sz val="12"/>
        <rFont val="Times New Roman"/>
        <family val="1"/>
      </rPr>
      <t>IZPILDĪTS.</t>
    </r>
    <r>
      <rPr>
        <sz val="12"/>
        <rFont val="Times New Roman"/>
        <family val="1"/>
      </rPr>
      <t xml:space="preserve">
Piegādāts un apmaksāts.
Attiecina PNA Poz.1.1.-1.11., 1.14.</t>
    </r>
  </si>
  <si>
    <t>ABMG 211110</t>
  </si>
  <si>
    <t>16.06.2021.</t>
  </si>
  <si>
    <t>SIA "AB Medical Group Riga"</t>
  </si>
  <si>
    <t>29.06.21.080419</t>
  </si>
  <si>
    <t>22.06.21.080383</t>
  </si>
  <si>
    <t>GRAINA</t>
  </si>
  <si>
    <t>05.07.21.080448</t>
  </si>
  <si>
    <t>09.07.21.081266</t>
  </si>
  <si>
    <t>* iestādes iesniegušas pavadzīmes, kas izrakstītas pirms 2021.gada 5.janvāra MK rīkojuma Nr.2.  FM neakceptē izdevumus</t>
  </si>
  <si>
    <t>Veikta apmaksa par 2.piešķīrumu no LNG (pēc FM rīkojuma 204) uz 01.07.2021.</t>
  </si>
  <si>
    <t>augusts</t>
  </si>
  <si>
    <t>21/07/046 OPT</t>
  </si>
  <si>
    <t>20.07.2021.</t>
  </si>
  <si>
    <t>ABMG 211356</t>
  </si>
  <si>
    <t>27.07.2021.</t>
  </si>
  <si>
    <t>PRA 267534</t>
  </si>
  <si>
    <t>14.07.2021.</t>
  </si>
  <si>
    <t>Sabiedrība ar ierobežotu atbildību "PRĀNA Ko", reģ. Nr. 40003277283</t>
  </si>
  <si>
    <t>Tiek plānoti skābekļa apgādes sistēmas pilnveidošanas darbi un gatavotas tāmes.</t>
  </si>
  <si>
    <t>ARB 111231</t>
  </si>
  <si>
    <t>09.06.2021.</t>
  </si>
  <si>
    <t>21-03515</t>
  </si>
  <si>
    <t>Iepirkums atvērts, notiek piedāvājumu vērtēšana.</t>
  </si>
  <si>
    <t>Pozīcija izpildīta, atskaite jūlijā.</t>
  </si>
  <si>
    <t>Atskaite jūnijā.</t>
  </si>
  <si>
    <t>EGLE 01975</t>
  </si>
  <si>
    <t>17.06.2021.</t>
  </si>
  <si>
    <t>21-03674</t>
  </si>
  <si>
    <t>EGLE 01989</t>
  </si>
  <si>
    <t>28.06.2021.</t>
  </si>
  <si>
    <t>PRM 025379</t>
  </si>
  <si>
    <t>15.07.2021.</t>
  </si>
  <si>
    <t>SIA PROMT</t>
  </si>
  <si>
    <t>21-04008</t>
  </si>
  <si>
    <t>Tiek apzinātas vietas un nepieciešamās iekārtas.</t>
  </si>
  <si>
    <t>Noslēdzies iepirkums.Tiek gatavots līgums. Piegāde augustā.</t>
  </si>
  <si>
    <t>Tiek gatavots iepirkums. Piegāde septembrī</t>
  </si>
  <si>
    <t>29.07.21.081674</t>
  </si>
  <si>
    <t>SCANMED SIA</t>
  </si>
  <si>
    <t>29.07.21.081673</t>
  </si>
  <si>
    <t>11.08.21.082352</t>
  </si>
  <si>
    <t>03.08.21.081677</t>
  </si>
  <si>
    <t>Iespējams nepirksim</t>
  </si>
  <si>
    <t>Tiek gatavots iepirkums, piegāde septembrī</t>
  </si>
  <si>
    <t>nepirksim</t>
  </si>
  <si>
    <t>septembris</t>
  </si>
  <si>
    <t>Pozīcija izpildīta, atskaite augustā.</t>
  </si>
  <si>
    <t>Noslēgts līgums Nr. VS/2021-248 ar SIA Scanmed (tiek gaidīta piegāde).</t>
  </si>
  <si>
    <t>Iepirkums izsludināts, atvēršana 20.09.2021.</t>
  </si>
  <si>
    <t>Ierīces saņemtas.</t>
  </si>
  <si>
    <t>Līgums noslēgts, tiek gaidīta piegāde.</t>
  </si>
  <si>
    <t>Pozīcija vairs nav aktuāla, netiks izpildīta.</t>
  </si>
  <si>
    <t>Atskaite augustā.</t>
  </si>
  <si>
    <t>EGLE 01908</t>
  </si>
  <si>
    <t>17.05.2021.</t>
  </si>
  <si>
    <t>21-02865</t>
  </si>
  <si>
    <t>Saņemtas pēdējās gultas veļas piegādes, pozīcija izpildīta.</t>
  </si>
  <si>
    <t>EGLE 01961</t>
  </si>
  <si>
    <t>08.06.2021.</t>
  </si>
  <si>
    <t>21-03234</t>
  </si>
  <si>
    <t>EGLE 02022</t>
  </si>
  <si>
    <t>21-04006</t>
  </si>
  <si>
    <t>EGLE 02049</t>
  </si>
  <si>
    <t>09.08.2021.</t>
  </si>
  <si>
    <t>21-04464</t>
  </si>
  <si>
    <t>ELPA 020898</t>
  </si>
  <si>
    <t>Pieņemšanas-nodošanas akts no 16.03.2021.</t>
  </si>
  <si>
    <t xml:space="preserve">Pieņemšanas-nodošanas akts no 16.06.2021 </t>
  </si>
  <si>
    <t xml:space="preserve">Izlietojums </t>
  </si>
  <si>
    <t>Baktericīdas lampas slegta tipa (plūsmas tipa) tipa Dezar 5</t>
  </si>
  <si>
    <t>Pavadzīme</t>
  </si>
  <si>
    <t>Komentārs par izpildes progresu</t>
  </si>
  <si>
    <t>Maksājuma uzdevums</t>
  </si>
  <si>
    <t>Informācija par pasākuma izpildi:  Pasākums izpildīts</t>
  </si>
  <si>
    <t>Pavadzīmē norādītais ierīces nosaukums</t>
  </si>
  <si>
    <t>Atsauce uz anotācijas pielikuma punktu</t>
  </si>
  <si>
    <t>Maksājuma uzdevuma Nr.</t>
  </si>
  <si>
    <t>Ir veikts</t>
  </si>
  <si>
    <t>Nav veikts</t>
  </si>
  <si>
    <t>Mākslīgās plaušas ventilācijas iekārtas gaisa sildītājs un mitrinātājs</t>
  </si>
  <si>
    <t>Informācija par finanšu līdzekļu izlietojumu</t>
  </si>
  <si>
    <r>
      <t xml:space="preserve">Informācija par līguma izpildi: </t>
    </r>
    <r>
      <rPr>
        <sz val="12"/>
        <color theme="1"/>
        <rFont val="Times New Roman"/>
        <family val="1"/>
        <charset val="186"/>
      </rPr>
      <t>Slimnīcā no 06.09.2021. ir kopumā pārprofilētas 30 gultas - atvērtas 27 gultas pacientiem ar vidēji smagu slimības gaitu un 3 gultas pacientiem ar smagu slimības gaitu. Atbilstoši pacientu plūsmai un to veselības stāvoklim, Slimnīca infrastruktūras un personāla kapacitātes ietvaros dinamiski pārskata gultu fonda noslodzi un to profilus.</t>
    </r>
  </si>
  <si>
    <t>Tiek veikta tirgus izpēte</t>
  </si>
  <si>
    <r>
      <t xml:space="preserve">Informācija par Līguma izpildi:
</t>
    </r>
    <r>
      <rPr>
        <sz val="12"/>
        <rFont val="Times New Roman"/>
        <family val="1"/>
        <charset val="186"/>
      </rPr>
      <t>[1] Plānots izveidot jaunas 13 gultas vietas Covid-19 pacientu ārstēšanai (NMP nodaļa - B korpuss 1.st.) - 5 vienvietīgas palātas, 1 septiņvietīga
[2] Pārprofilētas 9  internās medicīnas (terapijas) gultas par tranzītnodaļas gultas vietām (Iekšķīgo slimību nodaļa - D korpuss 3.st). Izpildīts</t>
    </r>
  </si>
  <si>
    <t xml:space="preserve"> Pieprasījums uz apmaksu no Solidaritātes fonda</t>
  </si>
  <si>
    <t xml:space="preserve">Uz apmaksu virzāmā summa </t>
  </si>
  <si>
    <r>
      <t>Informācija par Līguma izpildi:</t>
    </r>
    <r>
      <rPr>
        <sz val="12"/>
        <rFont val="Times New Roman"/>
        <family val="1"/>
        <charset val="186"/>
      </rPr>
      <t xml:space="preserve"> Ir pārprofilēta slimnīcas Bērnu nodaļa par Covid-19 nodaļu, izveidotas 20 gultas, pārprofilētas 20 Terapijas nodaļas gultas par Covid-19 gultām un 10 Ķirurģijas nodaļas gultas par Covid-19 gultām. Slimnīcā kopā ir pārfrofilētas 50  gultas Covid-19 pacientu ārstēšanai un medicīniskās iekārtas nepieciešamas  funkciju nodrošināšanai.</t>
    </r>
  </si>
  <si>
    <t xml:space="preserve">Informācija par Līguma izpildi: </t>
  </si>
  <si>
    <t>Informācija par Līguma izpildi:</t>
  </si>
  <si>
    <t>SIA Trandintek</t>
  </si>
  <si>
    <t>TR202124</t>
  </si>
  <si>
    <t>Piederumi mākslīgās plaušu ventilācijas iekārtām (neinvazīvas) - centralizēti iepērk Nacionālais veselības dienests</t>
  </si>
  <si>
    <r>
      <t xml:space="preserve">Piederumi mākslīgās plaušu ventilācijas iekārtām (invazīvas) </t>
    </r>
    <r>
      <rPr>
        <u/>
        <sz val="11"/>
        <color theme="1"/>
        <rFont val="Times New Roman"/>
        <family val="1"/>
      </rPr>
      <t>- centralizēti iepērk Nacionālais veselības dienests</t>
    </r>
  </si>
  <si>
    <t>SIA "Balvu un Gulbenes slimnīcu apvienība"</t>
  </si>
  <si>
    <t>A.Medical SIA</t>
  </si>
  <si>
    <t>Arbor Medical korporācija SIA</t>
  </si>
  <si>
    <t>23.12.2020.</t>
  </si>
  <si>
    <r>
      <t xml:space="preserve">Informācija par izpildi: </t>
    </r>
    <r>
      <rPr>
        <sz val="12"/>
        <color theme="1"/>
        <rFont val="Times New Roman"/>
        <family val="1"/>
        <charset val="186"/>
      </rPr>
      <t>Piegāde pabeigta.</t>
    </r>
  </si>
  <si>
    <t>Kuldīgas slimnīca</t>
  </si>
  <si>
    <r>
      <t xml:space="preserve">Informācija par Līguma izpildi: </t>
    </r>
    <r>
      <rPr>
        <sz val="12"/>
        <rFont val="Times New Roman"/>
        <family val="1"/>
        <charset val="186"/>
      </rPr>
      <t>Talsu filiālē ir atvērtas 10 gultas Covid pacientu (pēc 14. dienas) ārstēšanai, pārprofilējot 7 ķirurģijas dienas stacionāra un 3 diennakts stacionāra gultas. Papildus šajā pieprasījumā iekļauts aprīkojums Ventspils slimnīcai - defibrilators (1.līmeņa ITN palātas darba nodrošināšanai Kardioloģijas nodaļā (4 gultas) un 20 pretizgulējuma matrači (12 Infekciju un pārprofilētās Paliatīvās nodaļas gultām un 8  ITN gultām).</t>
    </r>
  </si>
  <si>
    <t>FT21027FJ34R</t>
  </si>
  <si>
    <t>Bērnu klīniskā universitātes slimnīca</t>
  </si>
  <si>
    <t>Paula Stradiņa klīniskā universitātes slimnīca</t>
  </si>
  <si>
    <t>Finansējuma izlietojums, atbilstoši 2021.gada 5.janvāra Ministru kabineta rīkojumam Nr.2 (prot. Nr. 1 10. §)</t>
  </si>
  <si>
    <t xml:space="preserve">Pielikums
Veselības ministrijas pieprasījumam par apropriācijas izmaiņām     
</t>
  </si>
  <si>
    <t>1.pielikums</t>
  </si>
  <si>
    <t>Apmaksas summa  iekļauj daudz dokumentu  ( pielikumā maksājuma atšifrējums). Preces saņemtas un samaksātas.</t>
  </si>
  <si>
    <t>Preces/pakalpojumi saņemtas un samaksātas. Rēķina summa bez PVN.</t>
  </si>
  <si>
    <t>Ir noslēgts līgums R1S-68/2021 SIA ARBOR MEDICAL KORPORĀCIJA, Preces saņemtas un samaksātas. Summa bez PVN</t>
  </si>
  <si>
    <t>Ir noslēgts līgums R1S-53/2021 UAB GRAINA, Preces saņemtas un samaksātas</t>
  </si>
  <si>
    <t>Ir noslēgts līgums R1S-81/2021 SIA NMS ELPA, Preces saņemtas un samaksātas</t>
  </si>
  <si>
    <t>Ir noslēgts līgums R1S-53/2021 UAB GRAINA, Preces saņemtas un samaksātas, Pavadzīmes summa bez PVN.</t>
  </si>
  <si>
    <t>Ir noslēgts līgums R1S-52/2021  SIA B.BRAUN MEDICAL, Preces saņemtas un samaksātas. Pavadzīmes summa bez PVN.</t>
  </si>
  <si>
    <t>Ir noslēgts līgums R1S-60/21 SIA KJ Serviss, Preces saņemtas un samaksātas. Pavadzīmes summa bez PVN.</t>
  </si>
  <si>
    <t>Ir noslēgts līgums R1S-47/2021 SIA NMS ELPA, Preces saņemtas un samaksātas. Pavadzīmes summa bez PVN.</t>
  </si>
  <si>
    <t>Ir noslēgts līgums R1S-55/2021  Siemens Healthcare Oy Latvijas filiāle. Preces saņemtas un samaksātas</t>
  </si>
  <si>
    <t>Ir noslēgts līgums R1S-60/21 SIA KJ Serviss, Preces saņemtas un samaksātas, Pavadzīmes summa bez PVN.</t>
  </si>
  <si>
    <t>Ir noslēgts līgums R1S-55/2021  Siemens Healthcare Oy Latvijas filiāle,  Preces saņemtas un samaksātas, Pavadzīmes 1063016883 summa bez PVN.</t>
  </si>
  <si>
    <t>Ir noslēgts līgums R1S-48/2021 SIA NMS ELPA, Preces saņemtas un samaksātas, Pavadzīmes summa bez PVN.</t>
  </si>
  <si>
    <t>Ir noslēgts līgums R1S-81/2021 SIA NMS ELPA, Preces saņemtas un samaksātas, Pavadzīmes summa bez PVN.</t>
  </si>
  <si>
    <t>Ir noslēgts līgums R1S-43/2021 SIA Medilink, Preces saņemtas un samaksātas</t>
  </si>
  <si>
    <t>Ir noslēgts līgums R1S-48/2021 SIA NMS ELPA, Preces saņemtas un samaksātas</t>
  </si>
  <si>
    <t>Veikta apmaksa par 2.piešķīrumu no LNG (pēc FM rīkojuma 204).</t>
  </si>
  <si>
    <t>21-27151;             21-27527</t>
  </si>
  <si>
    <t xml:space="preserve">20-26931    </t>
  </si>
  <si>
    <t>Sabiedrība ar ierobežotu atbildību "NMS ELPA", reģ. 40003348336</t>
  </si>
  <si>
    <t>26.08.2021.</t>
  </si>
  <si>
    <t>ELPA 022025</t>
  </si>
  <si>
    <t>SIA "Arbor Medical Korporācija", reģ. Nr. 40003547099</t>
  </si>
  <si>
    <t>06.08.2021.</t>
  </si>
  <si>
    <t>ARB 113026</t>
  </si>
  <si>
    <t xml:space="preserve">Sabiedrība ar ierobežotu atbildību "STALVE", reģ. Nr. 40003717895 </t>
  </si>
  <si>
    <t>1.06.08.2021.</t>
  </si>
  <si>
    <t>Sabiedrība ar ierobežotu atbildību "NMS ELPA", reģ. Nr. 40003348336</t>
  </si>
  <si>
    <t>11.08.2021.</t>
  </si>
  <si>
    <t>ELPA 021940</t>
  </si>
  <si>
    <t>18.08.2021.</t>
  </si>
  <si>
    <t>ABMG</t>
  </si>
  <si>
    <t>Sabiedrība ar ierobežotu atbildību "AB MEDICAL GROUP RIGA", reģ. Nr. 40003373297</t>
  </si>
  <si>
    <t>ABMG 21146</t>
  </si>
  <si>
    <t>ELPA 021939</t>
  </si>
  <si>
    <t>Izolācijas kapsula slimu Covid pacientu transportēšanai</t>
  </si>
  <si>
    <t>Aktīvais pretizgulējumu matracis</t>
  </si>
  <si>
    <t>Pārvietojamā palātas rentgeniekārta</t>
  </si>
  <si>
    <t>Pacienta funkcionālā gulta ar matraci</t>
  </si>
  <si>
    <t>Portatīva digitāla ultrasonogrāfijas sistēma - medicīnas ierīce; Pārvietojama ultrasonogrāfijas iekārta; Portatīva digitālā ultrasonogrāfijas sistēma - medicīnas ierīce</t>
  </si>
  <si>
    <t>Nepārtrauktās nieru aizstājējterapijas iekārta</t>
  </si>
  <si>
    <t>Slēgta tipa bakteri/lampas pie sienas</t>
  </si>
  <si>
    <t>Rūpnieciski ražota moduļa izgatavošana</t>
  </si>
  <si>
    <t>Interneta kameras</t>
  </si>
  <si>
    <t>Pacientu monitors</t>
  </si>
  <si>
    <t>Aerogen mitrinātāja komplekts</t>
  </si>
  <si>
    <t>Monitoru sistēma</t>
  </si>
  <si>
    <t>Termopaplāšu komplekts ar traukiem</t>
  </si>
  <si>
    <t>Procedūru galds</t>
  </si>
  <si>
    <t>Instrumentu galds</t>
  </si>
  <si>
    <t>Ķirurģiskais vakuumsūknis</t>
  </si>
  <si>
    <t>Tualetes krēsls</t>
  </si>
  <si>
    <t>Intensīvās aprūpes slimnieku gulta</t>
  </si>
  <si>
    <t>Slimnīcu gulta</t>
  </si>
  <si>
    <t>Rati-kušete pacientu mazgāšanai</t>
  </si>
  <si>
    <t>Darbstacijas komplekts</t>
  </si>
  <si>
    <t>Videobronhoskops</t>
  </si>
  <si>
    <t>UPS SISTĒMAS barošanas modulis</t>
  </si>
  <si>
    <t>Pacientu transportēšanas krēsli</t>
  </si>
  <si>
    <t>Teleskopisks aizslietņa turētājs</t>
  </si>
  <si>
    <t>Videobronhoskopa turētājs</t>
  </si>
  <si>
    <t>kokvilnas autiņi, dvieļi, pleds, slpilvendrānas, spilvena pārvalki un segu pārvalki, segas, spilveni</t>
  </si>
  <si>
    <t>Veļas savākšanas rati ar maisu</t>
  </si>
  <si>
    <t xml:space="preserve">Pacientu segas </t>
  </si>
  <si>
    <t>NVD (MPV centralizēti iegādāti)</t>
  </si>
  <si>
    <t>Vakuuma sūknis</t>
  </si>
  <si>
    <t>Pacientu monitori</t>
  </si>
  <si>
    <t>ēdienu sadales rati</t>
  </si>
  <si>
    <t>Matracis</t>
  </si>
  <si>
    <t>Funkcionālā aprūpes gulta</t>
  </si>
  <si>
    <t>Pacientu transportēšanas rati</t>
  </si>
  <si>
    <t>Pacientu skapītis</t>
  </si>
  <si>
    <t>Plaukts</t>
  </si>
  <si>
    <t>Rokas elpināšanas maisi</t>
  </si>
  <si>
    <t>Atkritumu tvertne ar vāku</t>
  </si>
  <si>
    <t>Darba apavi</t>
  </si>
  <si>
    <t>Funkcionālā gulta</t>
  </si>
  <si>
    <t>Aprūpes galds</t>
  </si>
  <si>
    <t>Transportkrēsli</t>
  </si>
  <si>
    <t>Akūtās aprūpes gulta</t>
  </si>
  <si>
    <t>Tehniskās apsekošanas atzinums par ēku ar kadastra apzīmējumu</t>
  </si>
  <si>
    <t>Krēsls - tualete uz riteņiem</t>
  </si>
  <si>
    <t>Vakuuma sūknis - ežektors</t>
  </si>
  <si>
    <t>Plaukts medicīnas precēm</t>
  </si>
  <si>
    <t>Mākslīgā plaušu ventilācijas iekārta</t>
  </si>
  <si>
    <t>Pacientu transportēšanas guļrati</t>
  </si>
  <si>
    <t>Pacientu transportēšanas guļrati Reanimācijas zālēs</t>
  </si>
  <si>
    <t>Pacienta  sildīšanas iekārta</t>
  </si>
  <si>
    <t>Fleksiblais intubācijas Fibrobronhoskops ar piederumiem</t>
  </si>
  <si>
    <t>Elektrokardiogrāfa iekārta</t>
  </si>
  <si>
    <t>Pacientu krēsli</t>
  </si>
  <si>
    <t>Intrakraniāla spiediena monitoringa modulis</t>
  </si>
  <si>
    <t>Pacienta guļrati</t>
  </si>
  <si>
    <t>Skābekļa sistēmas izveide</t>
  </si>
  <si>
    <t>Sirds ārējās automātiskās masāžas iekārta</t>
  </si>
  <si>
    <t>Ventilators</t>
  </si>
  <si>
    <t xml:space="preserve"> Intensīvās terapijas gultas</t>
  </si>
  <si>
    <t>Infuzijas sūknis</t>
  </si>
  <si>
    <t>Automatizēta infūzijas terapijas stacija</t>
  </si>
  <si>
    <r>
      <rPr>
        <b/>
        <sz val="12"/>
        <rFont val="Times New Roman"/>
        <family val="1"/>
      </rPr>
      <t>IZPILDĪTS.</t>
    </r>
    <r>
      <rPr>
        <sz val="12"/>
        <rFont val="Times New Roman"/>
        <family val="1"/>
      </rPr>
      <t xml:space="preserve">
Piegādāts un apmaksāts.
Attiecina PNA  5.,5.1.pozīciju, PVZ 5.pozīcija (6 vienības)</t>
    </r>
  </si>
  <si>
    <r>
      <rPr>
        <b/>
        <sz val="12"/>
        <rFont val="Times New Roman"/>
        <family val="1"/>
      </rPr>
      <t>IZPILDĪTS.</t>
    </r>
    <r>
      <rPr>
        <sz val="12"/>
        <rFont val="Times New Roman"/>
        <family val="1"/>
      </rPr>
      <t xml:space="preserve">
Piegādāts un apmaksāts.
Attiecina PNA un PVZ 6.,7.pozīciju</t>
    </r>
  </si>
  <si>
    <r>
      <rPr>
        <b/>
        <sz val="12"/>
        <rFont val="Times New Roman"/>
        <family val="1"/>
      </rPr>
      <t>IZPILDĪTS.</t>
    </r>
    <r>
      <rPr>
        <sz val="12"/>
        <rFont val="Times New Roman"/>
        <family val="1"/>
      </rPr>
      <t xml:space="preserve">
Piegādāts un apmaksāts.
Attiecina PNA un PVZ 1.-4.pozīciju</t>
    </r>
  </si>
  <si>
    <t>Statīvs tehnikas stiprināšanai</t>
  </si>
  <si>
    <t>Stetaskops</t>
  </si>
  <si>
    <t>Manipulāciju galdiņš</t>
  </si>
  <si>
    <t>CO2 un skābekļa telpas monitoru sistēma</t>
  </si>
  <si>
    <t>Termoss ar pumpi</t>
  </si>
  <si>
    <t>Pretizgulējumu matracis ar diviem maināmiem pārvalkiem</t>
  </si>
  <si>
    <t>Pulsa oksimetrs</t>
  </si>
  <si>
    <t>Iekārta infekciju kontrolei gaisā</t>
  </si>
  <si>
    <t>Pretizgulējumu matracis ar pārvalku</t>
  </si>
  <si>
    <t xml:space="preserve">Mitrinātājs plaušu mākslīgās ventilācijas iekārtai </t>
  </si>
  <si>
    <t>Pacientu vitālo parametru novērošanas monitori</t>
  </si>
  <si>
    <t>Pārvietojamaie ratiņi</t>
  </si>
  <si>
    <t>Pielāgojošs matracis pretizgulējumu profilaksei</t>
  </si>
  <si>
    <t>Fosforplates</t>
  </si>
  <si>
    <t>Automātiskās virsmu dezinfekcijas ielārtas</t>
  </si>
  <si>
    <t>Automātiskās virsmu dezinfekcijas ielārta</t>
  </si>
  <si>
    <t>Elektroniskais mitrinātājs</t>
  </si>
  <si>
    <t>Elektriska pacientu gulta</t>
  </si>
  <si>
    <t>Pasīvais pretizgulējumu matracis</t>
  </si>
  <si>
    <t>Pacientu vitālo parametru novērošanas monitors</t>
  </si>
  <si>
    <t>portatīvais dators</t>
  </si>
  <si>
    <t>Virsmu dezinfekcijas iekārta</t>
  </si>
  <si>
    <t>Medicīniskā skābekļa sistēmas izbūve</t>
  </si>
  <si>
    <t>Pacientu funkcionālā gulta</t>
  </si>
  <si>
    <t>Pacientu piederumu galds ar ēdināšanas dēli</t>
  </si>
  <si>
    <t>Baktericīdais apstarotājs ar statīvu un tālvadības pulti</t>
  </si>
  <si>
    <t>Datorā bāzēts elektrokardiogrāfs</t>
  </si>
  <si>
    <t>Staiguļi</t>
  </si>
  <si>
    <t>Procedūru galdi</t>
  </si>
  <si>
    <t>Portatīvs 12 novadījumu kardiogrāfs ar datu interpretāciju</t>
  </si>
  <si>
    <t>Pacientu vitālo parametru monitori</t>
  </si>
  <si>
    <t>Portatīvais vakuumsūknis</t>
  </si>
  <si>
    <t>Rolators</t>
  </si>
  <si>
    <t>Caurplūdes mērītāja  skābekļa mitrinātājs</t>
  </si>
  <si>
    <t>Fenondeskops</t>
  </si>
  <si>
    <t>Pārvietojama palātas rentgeniekārta</t>
  </si>
  <si>
    <t>Iekārta telpu  dezinfekcijai</t>
  </si>
  <si>
    <t>Telpu dezinfekcijas iekārta</t>
  </si>
  <si>
    <t>14.04.2021.</t>
  </si>
  <si>
    <t>Skābekļa plūsmas dozators</t>
  </si>
  <si>
    <t>Pacienta monitors</t>
  </si>
  <si>
    <t>Pacientu gulta</t>
  </si>
  <si>
    <t>Noslēgts līgums Nr.LMC 2021/02/1 ar SIA "Tradintek", kopējā līguma summa (ieskaitot PVN)  74859,07 Iekārta piegādāta 18.03.2021</t>
  </si>
  <si>
    <t>Noslēgts līgums Nr. LMC 2021/04/5 ar SIA "Arbor Medical Korporācija", kopējā līguma summa (ieskaitot PVN) 14 096,50 EUR. Iekārta piegādāta 07.04.2021</t>
  </si>
  <si>
    <t>Noslēgts līgums Nr.LMC2021/04/4 ar SIA "Tradintek", kopējā līguma summa (ieskaitot PVN) 3702,60 EUR Iekārta piegādāta 15.04.2021.</t>
  </si>
  <si>
    <t>Noslēgts līgums Nr. LMC 2021/04/6 ar SIA "Arbor Medical Korporācija", kopējā līguma summa (ieskaitot PVN) 25 410,00 EUR. Arīkojums piegādāts 16.06.2021.</t>
  </si>
  <si>
    <t>Kopētājs</t>
  </si>
  <si>
    <t>Maisi</t>
  </si>
  <si>
    <t>Atkritumu tvertnes ar pedāli</t>
  </si>
  <si>
    <t>Covid paziņojuma statīvi</t>
  </si>
  <si>
    <t>Transporta mākslīgā plaušu ventilācijas iekārta</t>
  </si>
  <si>
    <t>Planšetes tipa ultrasonogrāfijas iekārta</t>
  </si>
  <si>
    <t>Skabekļa flovometrs ar mirinātāju</t>
  </si>
  <si>
    <t>Medicīniskā saspiestā gaisa pievada izbūve</t>
  </si>
  <si>
    <t>Medicīniskā skābekļa sistēmas pielāgošana</t>
  </si>
  <si>
    <t>Durvju aizvērējs</t>
  </si>
  <si>
    <t>Pacienta transportēšanas sēdrati</t>
  </si>
  <si>
    <t>Pārvietojama, mobila rentgeniekārta</t>
  </si>
  <si>
    <t>Infūzijas sūknis ar barošanas funkciju</t>
  </si>
  <si>
    <t>Informācija par izpildi:</t>
  </si>
  <si>
    <t>jūnijs</t>
  </si>
  <si>
    <t>Iegādāts pirms MK lēmuma pieņemšanas*</t>
  </si>
  <si>
    <t>Veikta apmaksa par 2.piešķīrumu no LNG (pēc FM rīkojuma 204)</t>
  </si>
  <si>
    <t>Realizēts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</si>
</sst>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_-* #,##0\ _€_-;\-* #,##0\ _€_-;_-* &quot;-&quot;??\ _€_-;_-@_-"/>
  </numFmts>
  <fonts count="45" x14ac:knownFonts="1">
    <font>
      <sz val="11"/>
      <color theme="1"/>
      <name val="Calibri"/>
      <family val="2"/>
      <charset val="186"/>
      <scheme val="minor"/>
    </font>
    <font>
      <b/>
      <sz val="11"/>
      <color theme="1"/>
      <name val="Calibri"/>
      <family val="2"/>
      <charset val="186"/>
      <scheme val="minor"/>
    </font>
    <font>
      <sz val="11"/>
      <color theme="1"/>
      <name val="Calibri"/>
      <family val="2"/>
      <charset val="186"/>
      <scheme val="minor"/>
    </font>
    <font>
      <sz val="12"/>
      <color theme="1"/>
      <name val="Times New Roman"/>
      <family val="1"/>
      <charset val="186"/>
    </font>
    <font>
      <sz val="11"/>
      <color theme="1"/>
      <name val="Times New Roman"/>
      <family val="1"/>
      <charset val="186"/>
    </font>
    <font>
      <b/>
      <sz val="14"/>
      <name val="Times New Roman"/>
      <family val="1"/>
      <charset val="186"/>
    </font>
    <font>
      <b/>
      <sz val="12"/>
      <color theme="1"/>
      <name val="Times New Roman"/>
      <family val="1"/>
      <charset val="186"/>
    </font>
    <font>
      <sz val="11"/>
      <name val="Times New Roman"/>
      <family val="1"/>
      <charset val="186"/>
    </font>
    <font>
      <sz val="12"/>
      <name val="Times New Roman"/>
      <family val="1"/>
      <charset val="186"/>
    </font>
    <font>
      <sz val="11"/>
      <color rgb="FFFF0000"/>
      <name val="Calibri"/>
      <family val="2"/>
      <charset val="186"/>
      <scheme val="minor"/>
    </font>
    <font>
      <sz val="11"/>
      <color theme="1"/>
      <name val="Arial"/>
      <family val="2"/>
      <charset val="186"/>
    </font>
    <font>
      <b/>
      <sz val="11"/>
      <color theme="1"/>
      <name val="Times New Roman"/>
      <family val="1"/>
      <charset val="186"/>
    </font>
    <font>
      <sz val="11"/>
      <color theme="1"/>
      <name val="Times New Roman"/>
      <family val="1"/>
    </font>
    <font>
      <b/>
      <sz val="12"/>
      <color theme="1"/>
      <name val="Times New Roman"/>
      <family val="1"/>
    </font>
    <font>
      <sz val="12"/>
      <color theme="1"/>
      <name val="Times New Roman"/>
      <family val="1"/>
    </font>
    <font>
      <sz val="16"/>
      <color theme="1"/>
      <name val="Times New Roman"/>
      <family val="1"/>
      <charset val="186"/>
    </font>
    <font>
      <b/>
      <sz val="12"/>
      <name val="Times New Roman"/>
      <family val="1"/>
      <charset val="186"/>
    </font>
    <font>
      <i/>
      <sz val="12"/>
      <name val="Times New Roman"/>
      <family val="1"/>
      <charset val="186"/>
    </font>
    <font>
      <i/>
      <vertAlign val="superscript"/>
      <sz val="12"/>
      <name val="Times New Roman"/>
      <family val="1"/>
      <charset val="186"/>
    </font>
    <font>
      <i/>
      <sz val="12"/>
      <color theme="1"/>
      <name val="Times New Roman"/>
      <family val="1"/>
      <charset val="186"/>
    </font>
    <font>
      <i/>
      <vertAlign val="subscript"/>
      <sz val="12"/>
      <color theme="1"/>
      <name val="Times New Roman"/>
      <family val="1"/>
      <charset val="186"/>
    </font>
    <font>
      <i/>
      <vertAlign val="superscript"/>
      <sz val="12"/>
      <color theme="1"/>
      <name val="Times New Roman"/>
      <family val="1"/>
      <charset val="186"/>
    </font>
    <font>
      <sz val="11"/>
      <color rgb="FFFF0000"/>
      <name val="Times New Roman"/>
      <family val="1"/>
      <charset val="186"/>
    </font>
    <font>
      <b/>
      <sz val="14"/>
      <color theme="1"/>
      <name val="Times New Roman"/>
      <family val="1"/>
      <charset val="186"/>
    </font>
    <font>
      <u/>
      <sz val="12"/>
      <color theme="1"/>
      <name val="Times New Roman"/>
      <family val="1"/>
    </font>
    <font>
      <u/>
      <sz val="12"/>
      <color theme="1"/>
      <name val="Times New Roman"/>
      <family val="1"/>
      <charset val="186"/>
    </font>
    <font>
      <b/>
      <sz val="12"/>
      <color theme="1"/>
      <name val="Times New Roman"/>
      <family val="1"/>
      <charset val="204"/>
    </font>
    <font>
      <b/>
      <sz val="10"/>
      <color theme="1"/>
      <name val="Times New Roman"/>
      <family val="1"/>
      <charset val="186"/>
    </font>
    <font>
      <sz val="11.5"/>
      <color theme="1"/>
      <name val="Times New Roman"/>
      <family val="1"/>
    </font>
    <font>
      <sz val="11.5"/>
      <color rgb="FF000000"/>
      <name val="Times New Roman"/>
      <family val="1"/>
    </font>
    <font>
      <i/>
      <sz val="11"/>
      <color rgb="FFFF0000"/>
      <name val="Times New Roman"/>
      <family val="1"/>
      <charset val="204"/>
    </font>
    <font>
      <b/>
      <sz val="12"/>
      <name val="Times New Roman"/>
      <family val="1"/>
    </font>
    <font>
      <sz val="12"/>
      <name val="Times New Roman"/>
      <family val="1"/>
    </font>
    <font>
      <sz val="10"/>
      <name val="Arial"/>
      <family val="2"/>
      <charset val="186"/>
    </font>
    <font>
      <sz val="11"/>
      <name val="Times New Roman"/>
      <family val="1"/>
    </font>
    <font>
      <sz val="11"/>
      <name val="Calibri"/>
      <family val="2"/>
      <charset val="186"/>
      <scheme val="minor"/>
    </font>
    <font>
      <sz val="10"/>
      <name val="Arial"/>
      <family val="2"/>
    </font>
    <font>
      <b/>
      <sz val="10"/>
      <name val="Arial"/>
      <family val="2"/>
      <charset val="186"/>
    </font>
    <font>
      <sz val="8"/>
      <name val="Calibri"/>
      <family val="2"/>
      <charset val="186"/>
      <scheme val="minor"/>
    </font>
    <font>
      <sz val="11"/>
      <name val="Times New Roman"/>
      <family val="1"/>
      <charset val="204"/>
    </font>
    <font>
      <b/>
      <i/>
      <u/>
      <sz val="11"/>
      <color theme="1"/>
      <name val="Calibri"/>
      <family val="2"/>
      <charset val="186"/>
      <scheme val="minor"/>
    </font>
    <font>
      <sz val="10"/>
      <color theme="1"/>
      <name val="Calibri"/>
      <family val="2"/>
      <charset val="186"/>
      <scheme val="minor"/>
    </font>
    <font>
      <sz val="10"/>
      <name val="Calibri"/>
      <family val="2"/>
      <charset val="186"/>
      <scheme val="minor"/>
    </font>
    <font>
      <u/>
      <sz val="11"/>
      <color theme="1"/>
      <name val="Times New Roman"/>
      <family val="1"/>
    </font>
    <font>
      <sz val="10"/>
      <color theme="1"/>
      <name val="Times New Roman"/>
      <family val="1"/>
    </font>
  </fonts>
  <fills count="12">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5" tint="0.59999389629810485"/>
        <bgColor indexed="64"/>
      </patternFill>
    </fill>
  </fills>
  <borders count="3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10" fillId="0" borderId="0"/>
    <xf numFmtId="164" fontId="2" fillId="0" borderId="0" applyFont="0" applyFill="0" applyBorder="0" applyAlignment="0" applyProtection="0"/>
    <xf numFmtId="0" fontId="33" fillId="0" borderId="0"/>
    <xf numFmtId="0" fontId="36" fillId="0" borderId="0"/>
  </cellStyleXfs>
  <cellXfs count="820">
    <xf numFmtId="0" fontId="0" fillId="0" borderId="0" xfId="0"/>
    <xf numFmtId="0" fontId="0" fillId="0" borderId="1" xfId="0" applyBorder="1"/>
    <xf numFmtId="0" fontId="1" fillId="2" borderId="1" xfId="0" applyFont="1" applyFill="1" applyBorder="1" applyAlignment="1"/>
    <xf numFmtId="0" fontId="0" fillId="3" borderId="1" xfId="0" applyFill="1" applyBorder="1"/>
    <xf numFmtId="4" fontId="0" fillId="3" borderId="1" xfId="0" applyNumberFormat="1" applyFill="1" applyBorder="1"/>
    <xf numFmtId="0" fontId="1" fillId="2" borderId="1" xfId="0" applyFont="1" applyFill="1" applyBorder="1" applyAlignment="1">
      <alignment horizontal="center"/>
    </xf>
    <xf numFmtId="0" fontId="1" fillId="2" borderId="1" xfId="0" applyFont="1" applyFill="1" applyBorder="1" applyAlignment="1">
      <alignment wrapText="1"/>
    </xf>
    <xf numFmtId="0" fontId="0" fillId="2" borderId="1" xfId="0" applyFont="1" applyFill="1" applyBorder="1" applyAlignment="1">
      <alignment wrapText="1"/>
    </xf>
    <xf numFmtId="0" fontId="3" fillId="0" borderId="0" xfId="0" applyFont="1" applyAlignment="1">
      <alignment vertical="top" wrapText="1"/>
    </xf>
    <xf numFmtId="0" fontId="3" fillId="0" borderId="0" xfId="0" applyFont="1" applyAlignment="1">
      <alignment horizontal="right" vertical="top" wrapText="1"/>
    </xf>
    <xf numFmtId="0" fontId="4" fillId="4" borderId="0" xfId="0" applyFont="1" applyFill="1" applyAlignment="1">
      <alignment vertical="top" wrapText="1"/>
    </xf>
    <xf numFmtId="0" fontId="4" fillId="0" borderId="0" xfId="0" applyFont="1" applyAlignment="1">
      <alignment vertical="top" wrapText="1"/>
    </xf>
    <xf numFmtId="0" fontId="6" fillId="5" borderId="16" xfId="0" applyFont="1" applyFill="1" applyBorder="1" applyAlignment="1">
      <alignment horizontal="center" vertical="center" wrapText="1"/>
    </xf>
    <xf numFmtId="0" fontId="6" fillId="6" borderId="16" xfId="0" applyFont="1" applyFill="1" applyBorder="1" applyAlignment="1">
      <alignment horizontal="left" vertical="center" wrapText="1"/>
    </xf>
    <xf numFmtId="0" fontId="6" fillId="6" borderId="16" xfId="0" applyFont="1" applyFill="1" applyBorder="1" applyAlignment="1">
      <alignment horizontal="center" vertical="center" wrapText="1"/>
    </xf>
    <xf numFmtId="0" fontId="3" fillId="0" borderId="16" xfId="0" applyFont="1" applyBorder="1" applyAlignment="1">
      <alignment vertical="top" wrapText="1"/>
    </xf>
    <xf numFmtId="14" fontId="3" fillId="0" borderId="0" xfId="0" applyNumberFormat="1" applyFont="1" applyAlignment="1">
      <alignment horizontal="center" vertical="top" wrapText="1"/>
    </xf>
    <xf numFmtId="14" fontId="6" fillId="5" borderId="16" xfId="0" applyNumberFormat="1" applyFont="1" applyFill="1" applyBorder="1" applyAlignment="1">
      <alignment horizontal="center" vertical="center" wrapText="1"/>
    </xf>
    <xf numFmtId="43" fontId="6" fillId="6" borderId="16" xfId="0" applyNumberFormat="1" applyFont="1" applyFill="1" applyBorder="1" applyAlignment="1">
      <alignment horizontal="center" vertical="center" wrapText="1"/>
    </xf>
    <xf numFmtId="14" fontId="6" fillId="6" borderId="16" xfId="0" applyNumberFormat="1" applyFont="1" applyFill="1" applyBorder="1" applyAlignment="1">
      <alignment horizontal="center" vertical="center" wrapText="1"/>
    </xf>
    <xf numFmtId="0" fontId="4" fillId="0" borderId="0" xfId="0" applyFont="1" applyAlignment="1">
      <alignment horizontal="center" vertical="top" wrapText="1"/>
    </xf>
    <xf numFmtId="164" fontId="4" fillId="0" borderId="0" xfId="0" applyNumberFormat="1" applyFont="1" applyAlignment="1">
      <alignment vertical="top" wrapText="1"/>
    </xf>
    <xf numFmtId="0" fontId="3" fillId="0" borderId="16" xfId="0" applyFont="1" applyBorder="1" applyAlignment="1">
      <alignmen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vertical="center" wrapText="1"/>
    </xf>
    <xf numFmtId="0" fontId="7" fillId="0" borderId="0" xfId="0" applyFont="1" applyAlignment="1">
      <alignment vertical="top" wrapText="1"/>
    </xf>
    <xf numFmtId="14" fontId="4" fillId="0" borderId="0" xfId="0" applyNumberFormat="1" applyFont="1" applyAlignment="1">
      <alignment horizontal="center" vertical="top" wrapText="1"/>
    </xf>
    <xf numFmtId="0" fontId="6" fillId="0" borderId="0" xfId="0" applyFont="1" applyAlignment="1">
      <alignment vertical="top" wrapText="1"/>
    </xf>
    <xf numFmtId="43" fontId="12" fillId="0" borderId="16" xfId="1" applyFont="1" applyFill="1" applyBorder="1" applyAlignment="1">
      <alignment vertical="center"/>
    </xf>
    <xf numFmtId="0" fontId="6" fillId="6" borderId="13" xfId="0" applyFont="1" applyFill="1" applyBorder="1" applyAlignment="1">
      <alignment horizontal="center" vertical="center" wrapText="1"/>
    </xf>
    <xf numFmtId="165" fontId="6" fillId="6" borderId="16" xfId="3" applyNumberFormat="1" applyFont="1" applyFill="1" applyBorder="1" applyAlignment="1">
      <alignment horizontal="center" vertical="center" wrapText="1"/>
    </xf>
    <xf numFmtId="43" fontId="6" fillId="6" borderId="16" xfId="3" applyNumberFormat="1" applyFont="1" applyFill="1" applyBorder="1" applyAlignment="1">
      <alignment horizontal="center" vertical="center" wrapText="1"/>
    </xf>
    <xf numFmtId="4" fontId="6" fillId="6" borderId="16" xfId="0" applyNumberFormat="1" applyFont="1" applyFill="1" applyBorder="1" applyAlignment="1">
      <alignment horizontal="center" vertical="center" wrapText="1"/>
    </xf>
    <xf numFmtId="4" fontId="4" fillId="0" borderId="0" xfId="0" applyNumberFormat="1" applyFont="1" applyAlignment="1">
      <alignment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wrapText="1"/>
    </xf>
    <xf numFmtId="2" fontId="4" fillId="0" borderId="0" xfId="0" applyNumberFormat="1" applyFont="1" applyAlignment="1">
      <alignment vertical="top" wrapText="1"/>
    </xf>
    <xf numFmtId="4" fontId="0" fillId="0" borderId="1" xfId="0" applyNumberFormat="1" applyFill="1" applyBorder="1" applyAlignment="1">
      <alignment horizontal="right"/>
    </xf>
    <xf numFmtId="0" fontId="3" fillId="7" borderId="16" xfId="0" applyFont="1" applyFill="1" applyBorder="1" applyAlignment="1">
      <alignment vertical="top" wrapText="1"/>
    </xf>
    <xf numFmtId="4" fontId="0" fillId="0" borderId="1" xfId="0" applyNumberFormat="1" applyFill="1" applyBorder="1"/>
    <xf numFmtId="4" fontId="0" fillId="0" borderId="1" xfId="0" applyNumberFormat="1" applyFill="1" applyBorder="1" applyAlignment="1">
      <alignment horizontal="center"/>
    </xf>
    <xf numFmtId="3" fontId="6" fillId="6" borderId="16" xfId="0" applyNumberFormat="1" applyFont="1" applyFill="1" applyBorder="1" applyAlignment="1">
      <alignment horizontal="center" vertical="center" wrapText="1"/>
    </xf>
    <xf numFmtId="0" fontId="23" fillId="0" borderId="0" xfId="0" applyFont="1" applyAlignment="1">
      <alignment vertical="top"/>
    </xf>
    <xf numFmtId="0" fontId="11" fillId="5" borderId="16" xfId="0" applyFont="1" applyFill="1" applyBorder="1" applyAlignment="1">
      <alignment horizontal="center" vertical="center" wrapText="1"/>
    </xf>
    <xf numFmtId="0" fontId="3" fillId="8" borderId="16" xfId="0" applyFont="1" applyFill="1" applyBorder="1" applyAlignment="1">
      <alignment vertical="top" wrapText="1"/>
    </xf>
    <xf numFmtId="0" fontId="3" fillId="8" borderId="16" xfId="0" applyFont="1" applyFill="1" applyBorder="1" applyAlignment="1">
      <alignment horizontal="center" vertical="center" wrapText="1"/>
    </xf>
    <xf numFmtId="0" fontId="4" fillId="0" borderId="16" xfId="0" applyFont="1" applyBorder="1" applyAlignment="1">
      <alignment vertical="top" wrapText="1"/>
    </xf>
    <xf numFmtId="2" fontId="6" fillId="6" borderId="16" xfId="0" applyNumberFormat="1" applyFont="1" applyFill="1" applyBorder="1" applyAlignment="1">
      <alignment horizontal="center" vertical="center" wrapText="1"/>
    </xf>
    <xf numFmtId="0" fontId="6" fillId="5" borderId="16" xfId="0" applyFont="1" applyFill="1" applyBorder="1" applyAlignment="1">
      <alignment horizontal="left" vertical="center" wrapText="1"/>
    </xf>
    <xf numFmtId="2" fontId="3" fillId="0" borderId="16" xfId="0" applyNumberFormat="1" applyFont="1" applyBorder="1" applyAlignment="1">
      <alignment horizontal="right" vertical="center" wrapText="1"/>
    </xf>
    <xf numFmtId="14" fontId="3" fillId="0" borderId="16" xfId="0" applyNumberFormat="1" applyFont="1" applyBorder="1" applyAlignment="1">
      <alignment vertical="center" wrapText="1"/>
    </xf>
    <xf numFmtId="0" fontId="3" fillId="9" borderId="16" xfId="0" applyFont="1" applyFill="1" applyBorder="1" applyAlignment="1">
      <alignment vertical="center" wrapText="1"/>
    </xf>
    <xf numFmtId="2" fontId="3" fillId="9" borderId="16" xfId="0" applyNumberFormat="1" applyFont="1" applyFill="1" applyBorder="1" applyAlignment="1">
      <alignment horizontal="right" vertical="center" wrapText="1"/>
    </xf>
    <xf numFmtId="0" fontId="3" fillId="9" borderId="16" xfId="0" applyFont="1" applyFill="1" applyBorder="1" applyAlignment="1">
      <alignment horizontal="right" vertical="center" wrapText="1"/>
    </xf>
    <xf numFmtId="0" fontId="3" fillId="9" borderId="16" xfId="0" applyFont="1" applyFill="1" applyBorder="1" applyAlignment="1">
      <alignment horizontal="left" vertical="center" wrapText="1"/>
    </xf>
    <xf numFmtId="14" fontId="3" fillId="9" borderId="16" xfId="0" applyNumberFormat="1" applyFont="1" applyFill="1" applyBorder="1" applyAlignment="1">
      <alignment vertical="center" wrapText="1"/>
    </xf>
    <xf numFmtId="2" fontId="3" fillId="7" borderId="16" xfId="0" applyNumberFormat="1" applyFont="1" applyFill="1" applyBorder="1" applyAlignment="1">
      <alignment horizontal="right" vertical="center" wrapText="1"/>
    </xf>
    <xf numFmtId="0" fontId="3" fillId="7" borderId="16" xfId="0" applyFont="1" applyFill="1" applyBorder="1" applyAlignment="1">
      <alignment horizontal="right" vertical="center" wrapText="1"/>
    </xf>
    <xf numFmtId="164" fontId="27" fillId="6" borderId="13" xfId="0" applyNumberFormat="1" applyFont="1" applyFill="1" applyBorder="1" applyAlignment="1">
      <alignment horizontal="center" vertical="center" wrapText="1"/>
    </xf>
    <xf numFmtId="0" fontId="28" fillId="10" borderId="16" xfId="0" applyFont="1" applyFill="1" applyBorder="1" applyAlignment="1">
      <alignment horizontal="right" vertical="center" wrapText="1"/>
    </xf>
    <xf numFmtId="14" fontId="4" fillId="0" borderId="0" xfId="0" applyNumberFormat="1" applyFont="1" applyAlignment="1">
      <alignment horizontal="left" vertical="top" wrapText="1"/>
    </xf>
    <xf numFmtId="43" fontId="3" fillId="0" borderId="0" xfId="0" applyNumberFormat="1" applyFont="1" applyAlignment="1">
      <alignment vertical="top" wrapText="1"/>
    </xf>
    <xf numFmtId="164" fontId="3" fillId="0" borderId="0" xfId="3" applyFont="1" applyAlignment="1">
      <alignment vertical="top" wrapText="1"/>
    </xf>
    <xf numFmtId="164" fontId="6" fillId="5" borderId="16" xfId="3" applyFont="1" applyFill="1" applyBorder="1" applyAlignment="1">
      <alignment horizontal="center" vertical="center" wrapText="1"/>
    </xf>
    <xf numFmtId="164" fontId="6" fillId="6" borderId="16" xfId="3" applyFont="1" applyFill="1" applyBorder="1" applyAlignment="1">
      <alignment horizontal="center" vertical="center" wrapText="1"/>
    </xf>
    <xf numFmtId="164" fontId="4" fillId="0" borderId="0" xfId="3" applyFont="1" applyAlignment="1">
      <alignment vertical="top" wrapText="1"/>
    </xf>
    <xf numFmtId="2" fontId="3" fillId="7" borderId="16" xfId="0" applyNumberFormat="1" applyFont="1" applyFill="1" applyBorder="1" applyAlignment="1">
      <alignment horizontal="center" vertical="center" wrapText="1"/>
    </xf>
    <xf numFmtId="0" fontId="11" fillId="7" borderId="16" xfId="0" applyFont="1" applyFill="1" applyBorder="1" applyAlignment="1">
      <alignment vertical="top" wrapText="1"/>
    </xf>
    <xf numFmtId="0" fontId="0" fillId="0" borderId="0" xfId="0" applyAlignment="1">
      <alignment vertical="top" wrapText="1"/>
    </xf>
    <xf numFmtId="0" fontId="0" fillId="0" borderId="0" xfId="0" applyAlignment="1">
      <alignment horizontal="right" vertical="top" wrapText="1"/>
    </xf>
    <xf numFmtId="4" fontId="37" fillId="0" borderId="0" xfId="4" applyNumberFormat="1" applyFont="1"/>
    <xf numFmtId="164" fontId="28" fillId="0" borderId="16" xfId="3"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wrapText="1"/>
    </xf>
    <xf numFmtId="4" fontId="3" fillId="0" borderId="0" xfId="0" applyNumberFormat="1" applyFont="1" applyAlignment="1">
      <alignment horizontal="right" vertical="center" wrapText="1"/>
    </xf>
    <xf numFmtId="3" fontId="6" fillId="6" borderId="16" xfId="0" applyNumberFormat="1" applyFont="1" applyFill="1" applyBorder="1" applyAlignment="1">
      <alignment horizontal="right" vertical="center" wrapText="1"/>
    </xf>
    <xf numFmtId="4" fontId="6" fillId="6" borderId="16" xfId="0" applyNumberFormat="1" applyFont="1" applyFill="1" applyBorder="1" applyAlignment="1">
      <alignment horizontal="right" vertical="center" wrapText="1"/>
    </xf>
    <xf numFmtId="0" fontId="8" fillId="0" borderId="16" xfId="0" applyFont="1" applyBorder="1" applyAlignment="1">
      <alignment vertical="center" wrapText="1"/>
    </xf>
    <xf numFmtId="0" fontId="32" fillId="0" borderId="16" xfId="0" applyFont="1" applyBorder="1" applyAlignment="1">
      <alignment vertical="top" wrapText="1"/>
    </xf>
    <xf numFmtId="0" fontId="34" fillId="0" borderId="16" xfId="0" applyFont="1" applyBorder="1" applyAlignment="1">
      <alignment vertical="center" wrapText="1"/>
    </xf>
    <xf numFmtId="4" fontId="3" fillId="7" borderId="16" xfId="0" applyNumberFormat="1" applyFont="1" applyFill="1" applyBorder="1" applyAlignment="1">
      <alignment horizontal="center" vertical="center" wrapText="1"/>
    </xf>
    <xf numFmtId="0" fontId="12" fillId="0" borderId="16" xfId="0" applyFont="1" applyBorder="1" applyAlignment="1">
      <alignment vertical="center" wrapText="1"/>
    </xf>
    <xf numFmtId="3" fontId="12" fillId="0" borderId="16" xfId="0" applyNumberFormat="1" applyFont="1" applyBorder="1" applyAlignment="1">
      <alignment vertical="center"/>
    </xf>
    <xf numFmtId="0" fontId="12" fillId="7" borderId="16" xfId="0" applyFont="1" applyFill="1" applyBorder="1" applyAlignment="1">
      <alignment horizontal="right" vertical="center" wrapText="1"/>
    </xf>
    <xf numFmtId="0" fontId="12" fillId="7" borderId="16" xfId="0" applyFont="1" applyFill="1" applyBorder="1" applyAlignment="1">
      <alignment vertical="center" wrapText="1"/>
    </xf>
    <xf numFmtId="0" fontId="12" fillId="7" borderId="16" xfId="0" applyFont="1" applyFill="1" applyBorder="1" applyAlignment="1">
      <alignment horizontal="right" wrapText="1"/>
    </xf>
    <xf numFmtId="0" fontId="12" fillId="0" borderId="16" xfId="0" applyFont="1" applyBorder="1" applyAlignment="1">
      <alignment horizontal="right" vertical="center"/>
    </xf>
    <xf numFmtId="0" fontId="6" fillId="6" borderId="10" xfId="0" applyFont="1" applyFill="1" applyBorder="1" applyAlignment="1">
      <alignment horizontal="center" vertical="center" wrapText="1"/>
    </xf>
    <xf numFmtId="0" fontId="3" fillId="0" borderId="10" xfId="0" applyFont="1" applyBorder="1" applyAlignment="1">
      <alignment horizontal="left" vertical="center" wrapText="1"/>
    </xf>
    <xf numFmtId="2" fontId="3" fillId="9" borderId="16" xfId="1" applyNumberFormat="1" applyFont="1" applyFill="1" applyBorder="1" applyAlignment="1">
      <alignment horizontal="right" vertical="center" wrapText="1"/>
    </xf>
    <xf numFmtId="0" fontId="3" fillId="9" borderId="10" xfId="0" applyFont="1" applyFill="1" applyBorder="1" applyAlignment="1">
      <alignment horizontal="left" vertical="center" wrapText="1"/>
    </xf>
    <xf numFmtId="0" fontId="8" fillId="9" borderId="16" xfId="0" applyFont="1" applyFill="1" applyBorder="1" applyAlignment="1">
      <alignment horizontal="right" vertical="center" wrapText="1"/>
    </xf>
    <xf numFmtId="2" fontId="8" fillId="9" borderId="16" xfId="0" applyNumberFormat="1" applyFont="1" applyFill="1" applyBorder="1" applyAlignment="1">
      <alignment horizontal="right" vertical="center" wrapText="1"/>
    </xf>
    <xf numFmtId="0" fontId="8" fillId="9" borderId="10" xfId="0" applyFont="1" applyFill="1" applyBorder="1" applyAlignment="1">
      <alignment horizontal="left" vertical="center" wrapText="1"/>
    </xf>
    <xf numFmtId="0" fontId="3" fillId="0" borderId="10" xfId="0" applyFont="1" applyBorder="1" applyAlignment="1">
      <alignment vertical="center" wrapText="1"/>
    </xf>
    <xf numFmtId="0" fontId="30" fillId="4" borderId="0" xfId="0" applyFont="1" applyFill="1" applyAlignment="1">
      <alignment vertical="top"/>
    </xf>
    <xf numFmtId="4" fontId="3" fillId="0" borderId="0" xfId="0" applyNumberFormat="1" applyFont="1" applyAlignment="1">
      <alignment vertical="top" wrapText="1"/>
    </xf>
    <xf numFmtId="1" fontId="3" fillId="0" borderId="0" xfId="0" applyNumberFormat="1" applyFont="1" applyAlignment="1">
      <alignment horizontal="center" vertical="center" wrapText="1"/>
    </xf>
    <xf numFmtId="4" fontId="3" fillId="0" borderId="0" xfId="0" applyNumberFormat="1" applyFont="1" applyAlignment="1">
      <alignment horizontal="right" vertical="top" wrapText="1"/>
    </xf>
    <xf numFmtId="4" fontId="6" fillId="5" borderId="16" xfId="0" applyNumberFormat="1" applyFont="1" applyFill="1" applyBorder="1" applyAlignment="1">
      <alignment horizontal="center" vertical="center" wrapText="1"/>
    </xf>
    <xf numFmtId="4" fontId="6" fillId="6" borderId="13" xfId="0" applyNumberFormat="1" applyFont="1" applyFill="1" applyBorder="1" applyAlignment="1">
      <alignment horizontal="center" vertical="center" wrapText="1"/>
    </xf>
    <xf numFmtId="1" fontId="4" fillId="0" borderId="0" xfId="0" applyNumberFormat="1" applyFont="1" applyAlignment="1">
      <alignment horizontal="center" vertical="center" wrapText="1"/>
    </xf>
    <xf numFmtId="4" fontId="4" fillId="0" borderId="0" xfId="0" applyNumberFormat="1" applyFont="1" applyAlignment="1">
      <alignment horizontal="right" vertical="top" wrapText="1"/>
    </xf>
    <xf numFmtId="0" fontId="12" fillId="10" borderId="16" xfId="0" applyFont="1" applyFill="1" applyBorder="1" applyAlignment="1">
      <alignment horizontal="right" vertical="center" wrapText="1"/>
    </xf>
    <xf numFmtId="0" fontId="12" fillId="10" borderId="16" xfId="0" applyFont="1" applyFill="1" applyBorder="1" applyAlignment="1">
      <alignment vertical="center" wrapText="1"/>
    </xf>
    <xf numFmtId="0" fontId="4" fillId="7" borderId="16" xfId="0" applyFont="1" applyFill="1" applyBorder="1" applyAlignment="1">
      <alignment vertical="top" wrapText="1"/>
    </xf>
    <xf numFmtId="0" fontId="3" fillId="0" borderId="16" xfId="0" applyFont="1" applyFill="1" applyBorder="1" applyAlignment="1">
      <alignment horizontal="center" vertical="center" wrapText="1"/>
    </xf>
    <xf numFmtId="0" fontId="8" fillId="0" borderId="16" xfId="0" applyFont="1" applyBorder="1" applyAlignment="1">
      <alignment vertical="top" wrapText="1"/>
    </xf>
    <xf numFmtId="14" fontId="3" fillId="9" borderId="16" xfId="0" applyNumberFormat="1" applyFont="1" applyFill="1" applyBorder="1" applyAlignment="1">
      <alignment vertical="center"/>
    </xf>
    <xf numFmtId="0" fontId="3" fillId="9" borderId="16" xfId="0" applyFont="1" applyFill="1" applyBorder="1" applyAlignment="1">
      <alignment vertical="center"/>
    </xf>
    <xf numFmtId="0" fontId="3" fillId="7" borderId="16" xfId="0" applyFont="1" applyFill="1" applyBorder="1" applyAlignment="1">
      <alignment vertical="center" wrapText="1"/>
    </xf>
    <xf numFmtId="0" fontId="40" fillId="0" borderId="0" xfId="0" applyFont="1"/>
    <xf numFmtId="0" fontId="0" fillId="2" borderId="2" xfId="0" applyFill="1" applyBorder="1" applyAlignment="1">
      <alignment vertical="center" wrapText="1"/>
    </xf>
    <xf numFmtId="14" fontId="3" fillId="7" borderId="16" xfId="0" applyNumberFormat="1" applyFont="1" applyFill="1" applyBorder="1" applyAlignment="1">
      <alignment horizontal="left" vertical="center" wrapText="1"/>
    </xf>
    <xf numFmtId="4" fontId="35" fillId="0" borderId="1" xfId="0" applyNumberFormat="1" applyFont="1" applyFill="1" applyBorder="1"/>
    <xf numFmtId="0" fontId="3"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left" vertical="top" wrapText="1"/>
    </xf>
    <xf numFmtId="0" fontId="3" fillId="10" borderId="16" xfId="0" applyFont="1" applyFill="1" applyBorder="1" applyAlignment="1">
      <alignment vertical="top" wrapText="1"/>
    </xf>
    <xf numFmtId="4" fontId="0" fillId="0" borderId="0" xfId="0" applyNumberFormat="1"/>
    <xf numFmtId="0" fontId="3" fillId="0" borderId="16"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9" fillId="0" borderId="0" xfId="0" applyFont="1"/>
    <xf numFmtId="0" fontId="6" fillId="5" borderId="8" xfId="0" applyFont="1" applyFill="1"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left" wrapText="1"/>
    </xf>
    <xf numFmtId="0" fontId="3" fillId="7" borderId="16" xfId="0" applyFont="1" applyFill="1" applyBorder="1" applyAlignment="1">
      <alignment horizontal="center" vertical="center" wrapText="1"/>
    </xf>
    <xf numFmtId="0" fontId="3" fillId="0" borderId="0" xfId="0" applyFont="1" applyAlignment="1">
      <alignment horizontal="center" vertical="top" wrapText="1"/>
    </xf>
    <xf numFmtId="0" fontId="4" fillId="0" borderId="0" xfId="0" applyFont="1" applyAlignment="1">
      <alignment horizontal="left" vertical="top" wrapText="1"/>
    </xf>
    <xf numFmtId="4" fontId="4" fillId="0" borderId="0" xfId="0" applyNumberFormat="1" applyFont="1" applyAlignment="1">
      <alignment vertical="top"/>
    </xf>
    <xf numFmtId="0" fontId="4" fillId="4" borderId="0" xfId="0" applyFont="1" applyFill="1" applyAlignment="1">
      <alignment vertical="top"/>
    </xf>
    <xf numFmtId="4" fontId="3" fillId="7" borderId="13" xfId="0" applyNumberFormat="1" applyFont="1" applyFill="1" applyBorder="1" applyAlignment="1">
      <alignment horizontal="center" vertical="center" wrapText="1"/>
    </xf>
    <xf numFmtId="4" fontId="3" fillId="7" borderId="20" xfId="0" applyNumberFormat="1" applyFont="1" applyFill="1" applyBorder="1" applyAlignment="1">
      <alignment horizontal="center" vertical="center" wrapText="1"/>
    </xf>
    <xf numFmtId="0" fontId="3" fillId="0" borderId="0" xfId="0" applyFont="1" applyAlignment="1">
      <alignment horizontal="left" vertical="top" wrapText="1"/>
    </xf>
    <xf numFmtId="0" fontId="3" fillId="7" borderId="13"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0" borderId="8" xfId="0" applyFont="1" applyBorder="1" applyAlignment="1">
      <alignment vertical="top" wrapText="1"/>
    </xf>
    <xf numFmtId="0" fontId="3" fillId="9" borderId="13"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3" xfId="0" applyFont="1" applyFill="1" applyBorder="1" applyAlignment="1">
      <alignment horizontal="right" vertical="center" wrapText="1"/>
    </xf>
    <xf numFmtId="0" fontId="3" fillId="9" borderId="13"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3" fillId="0" borderId="0" xfId="0" applyFont="1" applyBorder="1" applyAlignment="1">
      <alignment vertical="top" wrapText="1"/>
    </xf>
    <xf numFmtId="0" fontId="3" fillId="0" borderId="0" xfId="0" applyFont="1" applyFill="1" applyAlignment="1">
      <alignment vertical="top" wrapText="1"/>
    </xf>
    <xf numFmtId="4" fontId="3" fillId="0" borderId="0" xfId="0" applyNumberFormat="1" applyFont="1" applyFill="1" applyAlignment="1">
      <alignment vertical="top" wrapText="1"/>
    </xf>
    <xf numFmtId="1" fontId="3" fillId="0" borderId="0" xfId="0" applyNumberFormat="1" applyFont="1" applyFill="1" applyAlignment="1">
      <alignment horizontal="center" vertical="center" wrapText="1"/>
    </xf>
    <xf numFmtId="3" fontId="3" fillId="7" borderId="16" xfId="0" applyNumberFormat="1" applyFont="1" applyFill="1" applyBorder="1" applyAlignment="1">
      <alignment horizontal="center" vertical="center" wrapText="1"/>
    </xf>
    <xf numFmtId="3" fontId="3" fillId="7" borderId="13" xfId="0" applyNumberFormat="1" applyFont="1" applyFill="1" applyBorder="1" applyAlignment="1">
      <alignment horizontal="center" vertical="center" wrapText="1"/>
    </xf>
    <xf numFmtId="3" fontId="3" fillId="7" borderId="8" xfId="0" applyNumberFormat="1" applyFont="1" applyFill="1" applyBorder="1" applyAlignment="1">
      <alignment horizontal="center" vertical="center" wrapText="1"/>
    </xf>
    <xf numFmtId="3" fontId="3" fillId="7" borderId="20" xfId="0" applyNumberFormat="1" applyFont="1" applyFill="1" applyBorder="1" applyAlignment="1">
      <alignment horizontal="center" vertical="center" wrapText="1"/>
    </xf>
    <xf numFmtId="4" fontId="3" fillId="0" borderId="16" xfId="0" applyNumberFormat="1" applyFont="1" applyFill="1" applyBorder="1" applyAlignment="1">
      <alignment horizontal="right" vertical="center" wrapText="1"/>
    </xf>
    <xf numFmtId="4" fontId="8" fillId="7" borderId="16" xfId="0" applyNumberFormat="1" applyFont="1" applyFill="1" applyBorder="1" applyAlignment="1">
      <alignment horizontal="center" vertical="center" wrapText="1"/>
    </xf>
    <xf numFmtId="3" fontId="8" fillId="7" borderId="16" xfId="0" applyNumberFormat="1" applyFont="1" applyFill="1" applyBorder="1" applyAlignment="1">
      <alignment horizontal="center" vertical="center" wrapText="1"/>
    </xf>
    <xf numFmtId="4" fontId="3" fillId="7" borderId="16" xfId="0" applyNumberFormat="1" applyFont="1" applyFill="1" applyBorder="1" applyAlignment="1">
      <alignment horizontal="right" vertical="center" wrapText="1"/>
    </xf>
    <xf numFmtId="0" fontId="3" fillId="7" borderId="12" xfId="0" applyFont="1" applyFill="1" applyBorder="1" applyAlignment="1">
      <alignment horizontal="center" vertical="center" wrapText="1"/>
    </xf>
    <xf numFmtId="1" fontId="3" fillId="7" borderId="16" xfId="0" applyNumberFormat="1" applyFont="1" applyFill="1" applyBorder="1" applyAlignment="1">
      <alignment horizontal="center" vertical="center" wrapText="1"/>
    </xf>
    <xf numFmtId="0" fontId="3" fillId="7" borderId="16" xfId="0" applyFont="1" applyFill="1" applyBorder="1" applyAlignment="1">
      <alignment horizontal="left" vertical="center" wrapText="1"/>
    </xf>
    <xf numFmtId="0" fontId="4" fillId="7" borderId="16" xfId="0" applyFont="1" applyFill="1" applyBorder="1" applyAlignment="1">
      <alignment vertical="center" wrapText="1"/>
    </xf>
    <xf numFmtId="0" fontId="3" fillId="7" borderId="16" xfId="0" applyFont="1" applyFill="1" applyBorder="1" applyAlignment="1">
      <alignment horizontal="center" vertical="top" wrapText="1"/>
    </xf>
    <xf numFmtId="0" fontId="3" fillId="7" borderId="0" xfId="0" applyFont="1" applyFill="1" applyAlignment="1">
      <alignment vertical="center"/>
    </xf>
    <xf numFmtId="0" fontId="3" fillId="7" borderId="10" xfId="0" applyFont="1" applyFill="1" applyBorder="1" applyAlignment="1">
      <alignment vertical="center" wrapText="1"/>
    </xf>
    <xf numFmtId="0" fontId="3" fillId="7" borderId="10" xfId="0" applyFont="1" applyFill="1" applyBorder="1" applyAlignment="1">
      <alignment horizontal="center" vertical="center" wrapText="1"/>
    </xf>
    <xf numFmtId="4" fontId="3" fillId="9" borderId="13" xfId="0" applyNumberFormat="1" applyFont="1" applyFill="1" applyBorder="1" applyAlignment="1">
      <alignment horizontal="right" vertical="center" wrapText="1"/>
    </xf>
    <xf numFmtId="4" fontId="3" fillId="9" borderId="8" xfId="0" applyNumberFormat="1" applyFont="1" applyFill="1" applyBorder="1" applyAlignment="1">
      <alignment horizontal="right" vertical="center" wrapText="1"/>
    </xf>
    <xf numFmtId="0" fontId="3" fillId="7" borderId="10" xfId="0" applyFont="1" applyFill="1" applyBorder="1" applyAlignment="1">
      <alignment horizontal="left" vertical="center" wrapText="1"/>
    </xf>
    <xf numFmtId="0" fontId="26" fillId="0" borderId="0" xfId="0" applyFont="1" applyFill="1" applyAlignment="1">
      <alignment vertical="top"/>
    </xf>
    <xf numFmtId="0" fontId="28" fillId="0" borderId="16" xfId="0" applyFont="1" applyFill="1" applyBorder="1" applyAlignment="1">
      <alignment vertical="top" wrapText="1"/>
    </xf>
    <xf numFmtId="164" fontId="3" fillId="0" borderId="0" xfId="0" applyNumberFormat="1" applyFont="1" applyFill="1" applyAlignment="1">
      <alignment vertical="top" wrapText="1"/>
    </xf>
    <xf numFmtId="164" fontId="3" fillId="0" borderId="0" xfId="3" applyFont="1" applyFill="1" applyAlignment="1">
      <alignment vertical="top" wrapText="1"/>
    </xf>
    <xf numFmtId="0" fontId="22" fillId="0" borderId="0" xfId="0" applyFont="1" applyAlignment="1">
      <alignment vertical="top"/>
    </xf>
    <xf numFmtId="0" fontId="4" fillId="0" borderId="0" xfId="0" applyFont="1" applyBorder="1" applyAlignment="1">
      <alignment vertical="top" wrapText="1"/>
    </xf>
    <xf numFmtId="0" fontId="8" fillId="0" borderId="0" xfId="0" applyFont="1" applyBorder="1" applyAlignment="1">
      <alignment vertical="top" wrapText="1"/>
    </xf>
    <xf numFmtId="2" fontId="3" fillId="0" borderId="0" xfId="0" applyNumberFormat="1" applyFont="1" applyFill="1" applyAlignment="1">
      <alignment vertical="top" wrapText="1"/>
    </xf>
    <xf numFmtId="0" fontId="3" fillId="0" borderId="0" xfId="0" applyFont="1" applyFill="1" applyAlignment="1">
      <alignment horizontal="right" vertical="top" wrapText="1"/>
    </xf>
    <xf numFmtId="4" fontId="9" fillId="0" borderId="0" xfId="0" applyNumberFormat="1" applyFont="1"/>
    <xf numFmtId="0" fontId="0" fillId="0" borderId="0" xfId="0" applyFill="1" applyAlignment="1">
      <alignment vertical="top" wrapText="1"/>
    </xf>
    <xf numFmtId="0" fontId="34" fillId="7" borderId="16" xfId="0" applyFont="1" applyFill="1" applyBorder="1" applyAlignment="1">
      <alignment vertical="center" wrapText="1"/>
    </xf>
    <xf numFmtId="0" fontId="34" fillId="7" borderId="0" xfId="0" applyFont="1" applyFill="1" applyAlignment="1">
      <alignment vertical="top" wrapText="1"/>
    </xf>
    <xf numFmtId="0" fontId="32" fillId="7" borderId="16" xfId="0" applyFont="1" applyFill="1" applyBorder="1" applyAlignment="1">
      <alignment vertical="top" wrapText="1"/>
    </xf>
    <xf numFmtId="0" fontId="34" fillId="7" borderId="16" xfId="0" applyFont="1" applyFill="1" applyBorder="1" applyAlignment="1">
      <alignment horizontal="right" vertical="center"/>
    </xf>
    <xf numFmtId="3" fontId="34" fillId="7" borderId="16" xfId="0" applyNumberFormat="1" applyFont="1" applyFill="1" applyBorder="1" applyAlignment="1">
      <alignment vertical="center"/>
    </xf>
    <xf numFmtId="0" fontId="34" fillId="7" borderId="16" xfId="0" applyFont="1" applyFill="1" applyBorder="1" applyAlignment="1">
      <alignment horizontal="right" vertical="center" wrapText="1"/>
    </xf>
    <xf numFmtId="0" fontId="12" fillId="7" borderId="16" xfId="0" applyFont="1" applyFill="1" applyBorder="1" applyAlignment="1">
      <alignment horizontal="left" vertical="center" wrapText="1"/>
    </xf>
    <xf numFmtId="0" fontId="12" fillId="7" borderId="16" xfId="0" applyFont="1" applyFill="1" applyBorder="1" applyAlignment="1">
      <alignment horizontal="left" wrapText="1"/>
    </xf>
    <xf numFmtId="0" fontId="35" fillId="0" borderId="0" xfId="0" applyFont="1"/>
    <xf numFmtId="0" fontId="4" fillId="11" borderId="16" xfId="2" applyFont="1" applyFill="1" applyBorder="1" applyAlignment="1">
      <alignment wrapText="1"/>
    </xf>
    <xf numFmtId="0" fontId="3" fillId="11" borderId="16" xfId="0" applyFont="1" applyFill="1" applyBorder="1" applyAlignment="1">
      <alignment horizontal="left" vertical="center" wrapText="1"/>
    </xf>
    <xf numFmtId="14" fontId="3" fillId="11" borderId="16" xfId="0" applyNumberFormat="1" applyFont="1" applyFill="1" applyBorder="1" applyAlignment="1">
      <alignment horizontal="left" vertical="center" wrapText="1"/>
    </xf>
    <xf numFmtId="4" fontId="3" fillId="11" borderId="13" xfId="0" applyNumberFormat="1" applyFont="1" applyFill="1" applyBorder="1" applyAlignment="1">
      <alignment horizontal="right" vertical="center" wrapText="1"/>
    </xf>
    <xf numFmtId="4" fontId="3" fillId="11" borderId="8" xfId="0" applyNumberFormat="1" applyFont="1" applyFill="1" applyBorder="1" applyAlignment="1">
      <alignment horizontal="right" vertical="center" wrapText="1"/>
    </xf>
    <xf numFmtId="0" fontId="14" fillId="10" borderId="16" xfId="0" applyFont="1" applyFill="1" applyBorder="1" applyAlignment="1">
      <alignment horizontal="justify" vertical="center" wrapText="1"/>
    </xf>
    <xf numFmtId="0" fontId="14" fillId="10" borderId="16" xfId="0" applyFont="1" applyFill="1" applyBorder="1" applyAlignment="1">
      <alignment horizontal="justify" vertical="center"/>
    </xf>
    <xf numFmtId="0" fontId="4" fillId="8" borderId="0" xfId="0" applyFont="1" applyFill="1" applyAlignment="1">
      <alignment vertical="top" wrapText="1"/>
    </xf>
    <xf numFmtId="0" fontId="8" fillId="0" borderId="16" xfId="0" applyFont="1" applyBorder="1" applyAlignment="1">
      <alignment horizontal="center" vertical="center" wrapText="1"/>
    </xf>
    <xf numFmtId="0" fontId="3" fillId="8" borderId="16" xfId="0" applyFont="1" applyFill="1" applyBorder="1" applyAlignment="1">
      <alignment vertical="center" wrapText="1"/>
    </xf>
    <xf numFmtId="0" fontId="3" fillId="8" borderId="16" xfId="0" applyFont="1" applyFill="1" applyBorder="1" applyAlignment="1">
      <alignment vertical="center"/>
    </xf>
    <xf numFmtId="2" fontId="3" fillId="8" borderId="16" xfId="0" applyNumberFormat="1" applyFont="1" applyFill="1" applyBorder="1" applyAlignment="1">
      <alignment horizontal="center" vertical="center" wrapText="1"/>
    </xf>
    <xf numFmtId="1" fontId="3" fillId="8" borderId="16" xfId="0" applyNumberFormat="1" applyFont="1" applyFill="1" applyBorder="1" applyAlignment="1">
      <alignment horizontal="center" vertical="center" wrapText="1"/>
    </xf>
    <xf numFmtId="0" fontId="4" fillId="7" borderId="0" xfId="0" applyFont="1" applyFill="1" applyAlignment="1">
      <alignment vertical="top" wrapText="1"/>
    </xf>
    <xf numFmtId="0" fontId="3" fillId="7" borderId="16" xfId="0" applyFont="1" applyFill="1" applyBorder="1" applyAlignment="1">
      <alignment horizontal="left" vertical="center"/>
    </xf>
    <xf numFmtId="0" fontId="3" fillId="7" borderId="16" xfId="0" applyFont="1" applyFill="1" applyBorder="1" applyAlignment="1">
      <alignment vertical="center"/>
    </xf>
    <xf numFmtId="4" fontId="3" fillId="8" borderId="16" xfId="0" applyNumberFormat="1" applyFont="1" applyFill="1" applyBorder="1" applyAlignment="1">
      <alignment horizontal="center" vertical="center" wrapText="1"/>
    </xf>
    <xf numFmtId="4" fontId="8" fillId="8" borderId="16" xfId="0" applyNumberFormat="1" applyFont="1" applyFill="1" applyBorder="1" applyAlignment="1">
      <alignment horizontal="center" vertical="center" wrapText="1"/>
    </xf>
    <xf numFmtId="0" fontId="3" fillId="8" borderId="16" xfId="0" applyFont="1" applyFill="1" applyBorder="1" applyAlignment="1">
      <alignment horizontal="left" vertical="center" wrapText="1"/>
    </xf>
    <xf numFmtId="4" fontId="3" fillId="8" borderId="16" xfId="0" applyNumberFormat="1" applyFont="1" applyFill="1" applyBorder="1" applyAlignment="1">
      <alignment horizontal="center" vertical="center"/>
    </xf>
    <xf numFmtId="0" fontId="3" fillId="8" borderId="16" xfId="0" applyFont="1" applyFill="1" applyBorder="1" applyAlignment="1">
      <alignment horizontal="center" vertical="center"/>
    </xf>
    <xf numFmtId="4" fontId="3" fillId="0" borderId="0" xfId="0" applyNumberFormat="1" applyFont="1" applyBorder="1" applyAlignment="1">
      <alignment horizontal="center" vertical="center"/>
    </xf>
    <xf numFmtId="2" fontId="3" fillId="7" borderId="16" xfId="0" applyNumberFormat="1" applyFont="1" applyFill="1" applyBorder="1" applyAlignment="1">
      <alignment horizontal="left" vertical="center" wrapText="1"/>
    </xf>
    <xf numFmtId="0" fontId="4" fillId="10" borderId="0" xfId="0" applyFont="1" applyFill="1" applyAlignment="1">
      <alignment vertical="top" wrapText="1"/>
    </xf>
    <xf numFmtId="0" fontId="3" fillId="10" borderId="16" xfId="0" applyFont="1" applyFill="1" applyBorder="1" applyAlignment="1">
      <alignment vertical="center" wrapText="1"/>
    </xf>
    <xf numFmtId="0" fontId="3" fillId="10" borderId="16" xfId="0" applyFont="1" applyFill="1" applyBorder="1" applyAlignment="1">
      <alignment vertical="center"/>
    </xf>
    <xf numFmtId="0" fontId="3" fillId="10" borderId="16" xfId="0" applyFont="1" applyFill="1" applyBorder="1" applyAlignment="1">
      <alignment horizontal="center" vertical="center" wrapText="1"/>
    </xf>
    <xf numFmtId="4" fontId="3" fillId="10" borderId="16" xfId="0" applyNumberFormat="1" applyFont="1" applyFill="1" applyBorder="1" applyAlignment="1">
      <alignment horizontal="center" vertical="center"/>
    </xf>
    <xf numFmtId="4" fontId="8" fillId="10" borderId="16" xfId="0" applyNumberFormat="1" applyFont="1" applyFill="1" applyBorder="1" applyAlignment="1">
      <alignment horizontal="center" vertical="center" wrapText="1"/>
    </xf>
    <xf numFmtId="1" fontId="8" fillId="10" borderId="16" xfId="0" applyNumberFormat="1" applyFont="1" applyFill="1" applyBorder="1" applyAlignment="1">
      <alignment horizontal="center" vertical="center" wrapText="1"/>
    </xf>
    <xf numFmtId="4" fontId="3" fillId="10" borderId="16" xfId="0" applyNumberFormat="1" applyFont="1" applyFill="1" applyBorder="1" applyAlignment="1">
      <alignment horizontal="center" vertical="center" wrapText="1"/>
    </xf>
    <xf numFmtId="2" fontId="3" fillId="10" borderId="16" xfId="0" applyNumberFormat="1" applyFont="1" applyFill="1" applyBorder="1" applyAlignment="1">
      <alignment horizontal="center" vertical="center" wrapText="1"/>
    </xf>
    <xf numFmtId="0" fontId="3" fillId="10" borderId="12" xfId="0" applyFont="1" applyFill="1" applyBorder="1" applyAlignment="1">
      <alignment vertical="center" wrapText="1"/>
    </xf>
    <xf numFmtId="1" fontId="3" fillId="10" borderId="16" xfId="0" applyNumberFormat="1" applyFont="1" applyFill="1" applyBorder="1" applyAlignment="1">
      <alignment horizontal="center" vertical="center" wrapText="1"/>
    </xf>
    <xf numFmtId="0" fontId="8" fillId="10" borderId="16" xfId="0" applyFont="1" applyFill="1" applyBorder="1" applyAlignment="1">
      <alignment horizontal="left" vertical="center" wrapText="1"/>
    </xf>
    <xf numFmtId="0" fontId="3" fillId="10" borderId="16" xfId="0" applyFont="1" applyFill="1" applyBorder="1" applyAlignment="1">
      <alignment horizontal="left" vertical="center" wrapText="1"/>
    </xf>
    <xf numFmtId="4" fontId="8" fillId="0" borderId="16" xfId="0" applyNumberFormat="1" applyFont="1" applyFill="1" applyBorder="1" applyAlignment="1">
      <alignment horizontal="center" vertical="center" wrapText="1"/>
    </xf>
    <xf numFmtId="0" fontId="3" fillId="11" borderId="16" xfId="0" applyFont="1" applyFill="1" applyBorder="1" applyAlignment="1">
      <alignment vertical="center" wrapText="1"/>
    </xf>
    <xf numFmtId="0" fontId="11" fillId="0" borderId="16" xfId="0" applyFont="1" applyFill="1" applyBorder="1" applyAlignment="1">
      <alignment vertical="top" wrapText="1"/>
    </xf>
    <xf numFmtId="0" fontId="4" fillId="0" borderId="0" xfId="0" applyFont="1" applyFill="1" applyAlignment="1">
      <alignment vertical="top" wrapText="1"/>
    </xf>
    <xf numFmtId="0" fontId="12" fillId="7" borderId="16" xfId="0" applyFont="1" applyFill="1" applyBorder="1" applyAlignment="1">
      <alignment horizontal="center" vertical="center"/>
    </xf>
    <xf numFmtId="0" fontId="12" fillId="7" borderId="16" xfId="0" applyFont="1" applyFill="1" applyBorder="1" applyAlignment="1">
      <alignment vertical="top" wrapText="1"/>
    </xf>
    <xf numFmtId="0" fontId="12" fillId="7" borderId="16" xfId="0" applyFont="1" applyFill="1" applyBorder="1" applyAlignment="1">
      <alignment vertical="center"/>
    </xf>
    <xf numFmtId="43" fontId="12" fillId="7" borderId="16" xfId="1" applyFont="1" applyFill="1" applyBorder="1" applyAlignment="1">
      <alignment vertical="center"/>
    </xf>
    <xf numFmtId="14" fontId="3" fillId="7" borderId="16" xfId="0" applyNumberFormat="1" applyFont="1" applyFill="1" applyBorder="1" applyAlignment="1">
      <alignment horizontal="left" vertical="center"/>
    </xf>
    <xf numFmtId="2" fontId="8" fillId="7" borderId="16" xfId="1" applyNumberFormat="1" applyFont="1" applyFill="1" applyBorder="1" applyAlignment="1">
      <alignment vertical="top" wrapText="1"/>
    </xf>
    <xf numFmtId="2" fontId="3" fillId="7" borderId="16" xfId="0" applyNumberFormat="1" applyFont="1" applyFill="1" applyBorder="1" applyAlignment="1">
      <alignment vertical="top" wrapText="1"/>
    </xf>
    <xf numFmtId="2" fontId="3" fillId="7" borderId="16" xfId="1" applyNumberFormat="1" applyFont="1" applyFill="1" applyBorder="1" applyAlignment="1">
      <alignment vertical="top" wrapText="1"/>
    </xf>
    <xf numFmtId="14" fontId="3" fillId="7" borderId="16" xfId="0" applyNumberFormat="1" applyFont="1" applyFill="1" applyBorder="1" applyAlignment="1">
      <alignment horizontal="left" vertical="top" wrapText="1"/>
    </xf>
    <xf numFmtId="0" fontId="12" fillId="0" borderId="16" xfId="0" applyFont="1" applyFill="1" applyBorder="1" applyAlignment="1">
      <alignment horizontal="center" vertical="center"/>
    </xf>
    <xf numFmtId="0" fontId="12" fillId="0" borderId="16" xfId="0" applyFont="1" applyFill="1" applyBorder="1" applyAlignment="1">
      <alignment vertical="top" wrapText="1"/>
    </xf>
    <xf numFmtId="0" fontId="12" fillId="0" borderId="16" xfId="0" applyFont="1" applyFill="1" applyBorder="1" applyAlignment="1">
      <alignment vertical="center"/>
    </xf>
    <xf numFmtId="0" fontId="3" fillId="0" borderId="16" xfId="0" applyFont="1" applyFill="1" applyBorder="1" applyAlignment="1">
      <alignment vertical="top" wrapText="1"/>
    </xf>
    <xf numFmtId="14" fontId="3" fillId="0" borderId="16" xfId="0" applyNumberFormat="1" applyFont="1" applyFill="1" applyBorder="1" applyAlignment="1">
      <alignment horizontal="center" vertical="top" wrapText="1"/>
    </xf>
    <xf numFmtId="2" fontId="3" fillId="0" borderId="16" xfId="0" applyNumberFormat="1" applyFont="1" applyFill="1" applyBorder="1" applyAlignment="1">
      <alignment vertical="top" wrapText="1"/>
    </xf>
    <xf numFmtId="3" fontId="3" fillId="11" borderId="16" xfId="0" applyNumberFormat="1" applyFont="1" applyFill="1" applyBorder="1" applyAlignment="1">
      <alignment horizontal="center" vertical="center" wrapText="1"/>
    </xf>
    <xf numFmtId="4" fontId="3" fillId="11" borderId="16" xfId="0" applyNumberFormat="1" applyFont="1" applyFill="1" applyBorder="1" applyAlignment="1">
      <alignment horizontal="center" vertical="center" wrapText="1"/>
    </xf>
    <xf numFmtId="4" fontId="3" fillId="11" borderId="16" xfId="0" applyNumberFormat="1" applyFont="1" applyFill="1" applyBorder="1" applyAlignment="1">
      <alignment horizontal="right" vertical="center" wrapText="1"/>
    </xf>
    <xf numFmtId="0" fontId="3" fillId="11" borderId="13" xfId="0" applyFont="1" applyFill="1" applyBorder="1" applyAlignment="1">
      <alignment vertical="top" wrapText="1"/>
    </xf>
    <xf numFmtId="0" fontId="3" fillId="11" borderId="16" xfId="0" applyFont="1" applyFill="1" applyBorder="1" applyAlignment="1">
      <alignment vertical="top" wrapText="1"/>
    </xf>
    <xf numFmtId="2" fontId="3" fillId="8" borderId="16" xfId="0" applyNumberFormat="1" applyFont="1" applyFill="1" applyBorder="1" applyAlignment="1">
      <alignment vertical="top" wrapText="1"/>
    </xf>
    <xf numFmtId="0" fontId="3" fillId="10" borderId="8" xfId="0" applyFont="1" applyFill="1" applyBorder="1" applyAlignment="1">
      <alignment vertical="top" wrapText="1"/>
    </xf>
    <xf numFmtId="0" fontId="4" fillId="8" borderId="16" xfId="2" applyFont="1" applyFill="1" applyBorder="1" applyAlignment="1">
      <alignment wrapText="1"/>
    </xf>
    <xf numFmtId="14" fontId="3" fillId="8" borderId="16" xfId="0" applyNumberFormat="1" applyFont="1" applyFill="1" applyBorder="1" applyAlignment="1">
      <alignment horizontal="left" vertical="top" wrapText="1"/>
    </xf>
    <xf numFmtId="0" fontId="34" fillId="10" borderId="16" xfId="0" applyFont="1" applyFill="1" applyBorder="1" applyAlignment="1">
      <alignment horizontal="left" vertical="center" wrapText="1"/>
    </xf>
    <xf numFmtId="0" fontId="34" fillId="10" borderId="16" xfId="0" applyFont="1" applyFill="1" applyBorder="1" applyAlignment="1">
      <alignment horizontal="center" vertical="center"/>
    </xf>
    <xf numFmtId="3" fontId="3" fillId="10" borderId="16" xfId="0" applyNumberFormat="1" applyFont="1" applyFill="1" applyBorder="1" applyAlignment="1">
      <alignment vertical="center" wrapText="1"/>
    </xf>
    <xf numFmtId="14" fontId="3" fillId="10" borderId="16" xfId="0" applyNumberFormat="1" applyFont="1" applyFill="1" applyBorder="1" applyAlignment="1">
      <alignment horizontal="center" vertical="center" wrapText="1"/>
    </xf>
    <xf numFmtId="4" fontId="3" fillId="10" borderId="16" xfId="0" applyNumberFormat="1" applyFont="1" applyFill="1" applyBorder="1" applyAlignment="1">
      <alignment vertical="center" wrapText="1"/>
    </xf>
    <xf numFmtId="0" fontId="4" fillId="10" borderId="16" xfId="0" applyFont="1" applyFill="1" applyBorder="1" applyAlignment="1">
      <alignment horizontal="right" vertical="center" wrapText="1"/>
    </xf>
    <xf numFmtId="0" fontId="8" fillId="10" borderId="16" xfId="0" applyFont="1" applyFill="1" applyBorder="1" applyAlignment="1">
      <alignment vertical="center" wrapText="1"/>
    </xf>
    <xf numFmtId="2" fontId="3" fillId="10" borderId="16" xfId="0" applyNumberFormat="1" applyFont="1" applyFill="1" applyBorder="1" applyAlignment="1">
      <alignment vertical="center" wrapText="1"/>
    </xf>
    <xf numFmtId="3" fontId="32" fillId="10" borderId="16" xfId="0" applyNumberFormat="1" applyFont="1" applyFill="1" applyBorder="1" applyAlignment="1">
      <alignment vertical="center" wrapText="1"/>
    </xf>
    <xf numFmtId="0" fontId="32" fillId="10" borderId="16" xfId="0" applyFont="1" applyFill="1" applyBorder="1" applyAlignment="1">
      <alignment horizontal="center" vertical="center" wrapText="1"/>
    </xf>
    <xf numFmtId="2" fontId="32" fillId="10" borderId="16" xfId="0" applyNumberFormat="1" applyFont="1" applyFill="1" applyBorder="1" applyAlignment="1">
      <alignment vertical="center" wrapText="1"/>
    </xf>
    <xf numFmtId="0" fontId="32" fillId="10" borderId="16" xfId="0" applyFont="1" applyFill="1" applyBorder="1" applyAlignment="1">
      <alignment vertical="center" wrapText="1"/>
    </xf>
    <xf numFmtId="0" fontId="32" fillId="10" borderId="16" xfId="0" applyFont="1" applyFill="1" applyBorder="1" applyAlignment="1">
      <alignment vertical="top" wrapText="1"/>
    </xf>
    <xf numFmtId="0" fontId="39" fillId="10" borderId="16" xfId="0" applyFont="1" applyFill="1" applyBorder="1" applyAlignment="1">
      <alignment horizontal="left" vertical="center"/>
    </xf>
    <xf numFmtId="3" fontId="3" fillId="10" borderId="16"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2" fontId="3" fillId="10" borderId="16" xfId="0" applyNumberFormat="1" applyFont="1" applyFill="1" applyBorder="1" applyAlignment="1">
      <alignment horizontal="right" vertical="center" wrapText="1"/>
    </xf>
    <xf numFmtId="0" fontId="34" fillId="10" borderId="16" xfId="0" applyFont="1" applyFill="1" applyBorder="1" applyAlignment="1">
      <alignment vertical="center" wrapText="1"/>
    </xf>
    <xf numFmtId="0" fontId="12" fillId="10" borderId="16" xfId="0" applyFont="1" applyFill="1" applyBorder="1" applyAlignment="1">
      <alignment horizontal="left" wrapText="1"/>
    </xf>
    <xf numFmtId="0" fontId="12" fillId="10" borderId="16" xfId="0" applyFont="1" applyFill="1" applyBorder="1" applyAlignment="1">
      <alignment horizontal="right" wrapText="1"/>
    </xf>
    <xf numFmtId="0" fontId="4" fillId="10" borderId="16" xfId="0" applyFont="1" applyFill="1" applyBorder="1" applyAlignment="1">
      <alignment vertical="center" wrapText="1"/>
    </xf>
    <xf numFmtId="0" fontId="12" fillId="10" borderId="16" xfId="0" applyFont="1" applyFill="1" applyBorder="1" applyAlignment="1">
      <alignment horizontal="left" vertical="center" wrapText="1"/>
    </xf>
    <xf numFmtId="0" fontId="12" fillId="10" borderId="16" xfId="0" applyFont="1" applyFill="1" applyBorder="1" applyAlignment="1">
      <alignment horizontal="right" vertical="top" wrapText="1"/>
    </xf>
    <xf numFmtId="0" fontId="12" fillId="10" borderId="16" xfId="0" applyFont="1" applyFill="1" applyBorder="1" applyAlignment="1">
      <alignment horizontal="right" vertical="center"/>
    </xf>
    <xf numFmtId="3" fontId="12" fillId="10" borderId="16" xfId="0" applyNumberFormat="1" applyFont="1" applyFill="1" applyBorder="1" applyAlignment="1">
      <alignment vertical="center"/>
    </xf>
    <xf numFmtId="0" fontId="7" fillId="10" borderId="16" xfId="0" applyFont="1" applyFill="1" applyBorder="1" applyAlignment="1">
      <alignment vertical="center" wrapText="1"/>
    </xf>
    <xf numFmtId="0" fontId="12" fillId="10" borderId="13" xfId="0" applyFont="1" applyFill="1" applyBorder="1" applyAlignment="1">
      <alignment vertical="center" wrapText="1"/>
    </xf>
    <xf numFmtId="0" fontId="12" fillId="10" borderId="13" xfId="0" applyFont="1" applyFill="1" applyBorder="1" applyAlignment="1">
      <alignment vertical="center"/>
    </xf>
    <xf numFmtId="3" fontId="12" fillId="10" borderId="13" xfId="0" applyNumberFormat="1" applyFont="1" applyFill="1" applyBorder="1" applyAlignment="1">
      <alignment vertical="center"/>
    </xf>
    <xf numFmtId="0" fontId="12" fillId="10" borderId="13" xfId="0" applyFont="1" applyFill="1" applyBorder="1" applyAlignment="1">
      <alignment horizontal="right" vertical="center" wrapText="1"/>
    </xf>
    <xf numFmtId="0" fontId="4" fillId="10" borderId="13" xfId="0" applyFont="1" applyFill="1" applyBorder="1" applyAlignment="1">
      <alignment vertical="center" wrapText="1"/>
    </xf>
    <xf numFmtId="0" fontId="34" fillId="0" borderId="0" xfId="0" applyFont="1" applyAlignment="1">
      <alignment vertical="top" wrapText="1"/>
    </xf>
    <xf numFmtId="0" fontId="32" fillId="0" borderId="16" xfId="0" applyFont="1" applyFill="1" applyBorder="1" applyAlignment="1">
      <alignment vertical="center" wrapText="1"/>
    </xf>
    <xf numFmtId="0" fontId="34" fillId="0" borderId="16" xfId="0" applyFont="1" applyBorder="1" applyAlignment="1">
      <alignment vertical="center"/>
    </xf>
    <xf numFmtId="3" fontId="34" fillId="0" borderId="16" xfId="0" applyNumberFormat="1" applyFont="1" applyBorder="1" applyAlignment="1">
      <alignment vertical="center"/>
    </xf>
    <xf numFmtId="0" fontId="12" fillId="10" borderId="16" xfId="0" applyFont="1" applyFill="1" applyBorder="1" applyAlignment="1">
      <alignment vertical="top" wrapText="1"/>
    </xf>
    <xf numFmtId="0" fontId="4" fillId="10" borderId="16" xfId="0" applyFont="1" applyFill="1" applyBorder="1" applyAlignment="1">
      <alignment horizontal="left" vertical="center" wrapText="1"/>
    </xf>
    <xf numFmtId="0" fontId="6" fillId="10" borderId="16" xfId="0" applyFont="1" applyFill="1" applyBorder="1" applyAlignment="1">
      <alignment vertical="top" wrapText="1"/>
    </xf>
    <xf numFmtId="0" fontId="12" fillId="10" borderId="16" xfId="0" applyFont="1" applyFill="1" applyBorder="1" applyAlignment="1">
      <alignment vertical="center"/>
    </xf>
    <xf numFmtId="0" fontId="12" fillId="10" borderId="13"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28" fillId="10" borderId="16" xfId="0" applyFont="1" applyFill="1" applyBorder="1" applyAlignment="1">
      <alignment horizontal="center" vertical="center" wrapText="1"/>
    </xf>
    <xf numFmtId="0" fontId="28" fillId="10" borderId="10" xfId="0" applyFont="1" applyFill="1" applyBorder="1" applyAlignment="1">
      <alignment vertical="top" wrapText="1"/>
    </xf>
    <xf numFmtId="0" fontId="28" fillId="10" borderId="10" xfId="0" applyFont="1" applyFill="1" applyBorder="1" applyAlignment="1">
      <alignment vertical="center" wrapText="1"/>
    </xf>
    <xf numFmtId="0" fontId="28" fillId="10" borderId="10" xfId="0" applyFont="1" applyFill="1" applyBorder="1" applyAlignment="1">
      <alignment horizontal="center" vertical="center" wrapText="1"/>
    </xf>
    <xf numFmtId="164" fontId="28" fillId="10" borderId="16" xfId="3" applyFont="1" applyFill="1" applyBorder="1" applyAlignment="1">
      <alignment horizontal="right" vertical="center" wrapText="1"/>
    </xf>
    <xf numFmtId="0" fontId="28" fillId="10" borderId="12" xfId="0" applyFont="1" applyFill="1" applyBorder="1" applyAlignment="1">
      <alignment vertical="top" wrapText="1"/>
    </xf>
    <xf numFmtId="0" fontId="28" fillId="10" borderId="16" xfId="0" applyFont="1" applyFill="1" applyBorder="1" applyAlignment="1">
      <alignment vertical="top" wrapText="1"/>
    </xf>
    <xf numFmtId="0" fontId="28" fillId="10" borderId="16" xfId="0" applyFont="1" applyFill="1" applyBorder="1" applyAlignment="1">
      <alignment horizontal="left" vertical="center" wrapText="1"/>
    </xf>
    <xf numFmtId="0" fontId="28" fillId="10" borderId="13" xfId="0" applyFont="1" applyFill="1" applyBorder="1" applyAlignment="1">
      <alignment horizontal="left" vertical="center" wrapText="1"/>
    </xf>
    <xf numFmtId="164" fontId="28" fillId="10" borderId="16" xfId="3" applyFont="1" applyFill="1" applyBorder="1" applyAlignment="1">
      <alignment horizontal="center" vertical="center" wrapText="1"/>
    </xf>
    <xf numFmtId="164" fontId="28" fillId="10" borderId="16" xfId="0" applyNumberFormat="1" applyFont="1" applyFill="1" applyBorder="1" applyAlignment="1">
      <alignment horizontal="center" vertical="center" wrapText="1"/>
    </xf>
    <xf numFmtId="0" fontId="28" fillId="10" borderId="10" xfId="0" applyFont="1" applyFill="1" applyBorder="1" applyAlignment="1">
      <alignment vertical="center"/>
    </xf>
    <xf numFmtId="164" fontId="28" fillId="10" borderId="16" xfId="0" applyNumberFormat="1" applyFont="1" applyFill="1" applyBorder="1" applyAlignment="1">
      <alignment vertical="center" wrapText="1"/>
    </xf>
    <xf numFmtId="0" fontId="28" fillId="10" borderId="12" xfId="0" applyFont="1" applyFill="1" applyBorder="1" applyAlignment="1">
      <alignment horizontal="center" vertical="center" wrapText="1"/>
    </xf>
    <xf numFmtId="0" fontId="28" fillId="0" borderId="10" xfId="0" applyFont="1" applyFill="1" applyBorder="1" applyAlignment="1">
      <alignment vertical="top" wrapText="1"/>
    </xf>
    <xf numFmtId="0" fontId="28" fillId="0" borderId="10" xfId="0" applyFont="1" applyFill="1" applyBorder="1" applyAlignment="1">
      <alignment vertical="center" wrapText="1"/>
    </xf>
    <xf numFmtId="0" fontId="28" fillId="0" borderId="10" xfId="0" applyFont="1" applyFill="1" applyBorder="1" applyAlignment="1">
      <alignment horizontal="center" vertical="center" wrapText="1"/>
    </xf>
    <xf numFmtId="164" fontId="28" fillId="0" borderId="16" xfId="3" applyFont="1" applyFill="1" applyBorder="1" applyAlignment="1">
      <alignment horizontal="right" vertical="center" wrapText="1"/>
    </xf>
    <xf numFmtId="0" fontId="28" fillId="0" borderId="12" xfId="0" applyFont="1" applyFill="1" applyBorder="1" applyAlignment="1">
      <alignment vertical="top" wrapText="1"/>
    </xf>
    <xf numFmtId="0" fontId="28" fillId="0" borderId="16" xfId="0" applyFont="1" applyFill="1" applyBorder="1" applyAlignment="1">
      <alignment horizontal="left" vertical="center" wrapText="1"/>
    </xf>
    <xf numFmtId="0" fontId="28" fillId="0" borderId="9" xfId="0" applyFont="1" applyFill="1" applyBorder="1" applyAlignment="1">
      <alignment vertical="top" wrapText="1"/>
    </xf>
    <xf numFmtId="3" fontId="3" fillId="10" borderId="16" xfId="0" applyNumberFormat="1" applyFont="1" applyFill="1" applyBorder="1" applyAlignment="1">
      <alignment horizontal="center" vertical="center" wrapText="1"/>
    </xf>
    <xf numFmtId="4" fontId="3" fillId="10" borderId="16" xfId="0" applyNumberFormat="1" applyFont="1" applyFill="1" applyBorder="1" applyAlignment="1">
      <alignment horizontal="right" vertical="center" wrapText="1"/>
    </xf>
    <xf numFmtId="0" fontId="4" fillId="10" borderId="13" xfId="0" applyFont="1" applyFill="1" applyBorder="1" applyAlignment="1">
      <alignment horizontal="center" vertical="center" wrapText="1"/>
    </xf>
    <xf numFmtId="0" fontId="3" fillId="10" borderId="13" xfId="0" applyFont="1" applyFill="1" applyBorder="1" applyAlignment="1">
      <alignment horizontal="left" vertical="center" wrapText="1"/>
    </xf>
    <xf numFmtId="0" fontId="3" fillId="10" borderId="13" xfId="0" applyFont="1" applyFill="1" applyBorder="1" applyAlignment="1">
      <alignment horizontal="center" vertical="center" wrapText="1"/>
    </xf>
    <xf numFmtId="4" fontId="3" fillId="10" borderId="13" xfId="0" applyNumberFormat="1" applyFont="1" applyFill="1" applyBorder="1" applyAlignment="1">
      <alignment horizontal="center" vertical="center" wrapText="1"/>
    </xf>
    <xf numFmtId="3" fontId="3" fillId="10" borderId="13" xfId="0" applyNumberFormat="1" applyFont="1" applyFill="1" applyBorder="1" applyAlignment="1">
      <alignment horizontal="center" vertical="center" wrapText="1"/>
    </xf>
    <xf numFmtId="4" fontId="3" fillId="10" borderId="13" xfId="0" applyNumberFormat="1" applyFont="1" applyFill="1" applyBorder="1" applyAlignment="1">
      <alignment horizontal="right" vertical="center" wrapText="1"/>
    </xf>
    <xf numFmtId="4" fontId="3" fillId="7" borderId="16" xfId="0" applyNumberFormat="1" applyFont="1" applyFill="1" applyBorder="1" applyAlignment="1">
      <alignment vertical="top" wrapText="1"/>
    </xf>
    <xf numFmtId="0" fontId="4" fillId="10" borderId="16" xfId="0" applyFont="1" applyFill="1" applyBorder="1" applyAlignment="1">
      <alignment vertical="top" wrapText="1"/>
    </xf>
    <xf numFmtId="3" fontId="8" fillId="10" borderId="16" xfId="0" applyNumberFormat="1" applyFont="1" applyFill="1" applyBorder="1" applyAlignment="1">
      <alignment horizontal="center" vertical="center" wrapText="1"/>
    </xf>
    <xf numFmtId="0" fontId="0" fillId="10" borderId="1" xfId="0" applyFill="1" applyBorder="1"/>
    <xf numFmtId="0" fontId="41" fillId="10" borderId="1" xfId="0" applyFont="1" applyFill="1" applyBorder="1" applyAlignment="1">
      <alignment wrapText="1"/>
    </xf>
    <xf numFmtId="4" fontId="0" fillId="10" borderId="1" xfId="0" applyNumberFormat="1" applyFill="1" applyBorder="1"/>
    <xf numFmtId="4" fontId="0" fillId="10" borderId="1" xfId="0" applyNumberFormat="1" applyFill="1" applyBorder="1" applyAlignment="1">
      <alignment horizontal="center"/>
    </xf>
    <xf numFmtId="4" fontId="0" fillId="10" borderId="1" xfId="0" applyNumberFormat="1" applyFill="1" applyBorder="1" applyAlignment="1">
      <alignment horizontal="right"/>
    </xf>
    <xf numFmtId="4" fontId="0" fillId="10" borderId="0" xfId="0" applyNumberFormat="1" applyFill="1"/>
    <xf numFmtId="0" fontId="8" fillId="0" borderId="16" xfId="0" applyFont="1" applyFill="1" applyBorder="1" applyAlignment="1">
      <alignment vertical="center" wrapText="1"/>
    </xf>
    <xf numFmtId="0" fontId="8" fillId="9" borderId="16" xfId="0" applyFont="1" applyFill="1" applyBorder="1" applyAlignment="1">
      <alignment vertical="center" wrapText="1"/>
    </xf>
    <xf numFmtId="2" fontId="8" fillId="0" borderId="16" xfId="0" applyNumberFormat="1" applyFont="1" applyFill="1" applyBorder="1" applyAlignment="1">
      <alignment horizontal="right" vertical="center" wrapText="1"/>
    </xf>
    <xf numFmtId="0" fontId="8" fillId="0" borderId="16" xfId="0" applyFont="1" applyFill="1" applyBorder="1" applyAlignment="1">
      <alignment horizontal="right" vertical="center" wrapText="1"/>
    </xf>
    <xf numFmtId="0" fontId="8" fillId="0" borderId="16" xfId="0" applyFont="1" applyFill="1" applyBorder="1" applyAlignment="1">
      <alignment horizontal="left" vertical="center" wrapText="1"/>
    </xf>
    <xf numFmtId="0" fontId="8" fillId="6" borderId="16" xfId="0" applyFont="1" applyFill="1" applyBorder="1" applyAlignment="1">
      <alignment vertical="center" wrapText="1"/>
    </xf>
    <xf numFmtId="0" fontId="3" fillId="6" borderId="16" xfId="0" applyFont="1" applyFill="1" applyBorder="1" applyAlignment="1">
      <alignment vertical="center" wrapText="1"/>
    </xf>
    <xf numFmtId="14" fontId="3" fillId="6" borderId="16" xfId="0" applyNumberFormat="1" applyFont="1" applyFill="1" applyBorder="1" applyAlignment="1">
      <alignment vertical="center" wrapText="1"/>
    </xf>
    <xf numFmtId="2" fontId="3" fillId="6" borderId="16" xfId="0" applyNumberFormat="1" applyFont="1" applyFill="1" applyBorder="1" applyAlignment="1">
      <alignment horizontal="right" vertical="center" wrapText="1"/>
    </xf>
    <xf numFmtId="0" fontId="8" fillId="6" borderId="10" xfId="0" applyFont="1" applyFill="1" applyBorder="1" applyAlignment="1">
      <alignment horizontal="left" vertical="center" wrapText="1"/>
    </xf>
    <xf numFmtId="0" fontId="14" fillId="6" borderId="16" xfId="0" applyFont="1" applyFill="1" applyBorder="1" applyAlignment="1">
      <alignment vertical="center" wrapText="1"/>
    </xf>
    <xf numFmtId="4" fontId="3" fillId="9" borderId="16" xfId="1" applyNumberFormat="1" applyFont="1" applyFill="1" applyBorder="1" applyAlignment="1">
      <alignment horizontal="right" vertical="center"/>
    </xf>
    <xf numFmtId="4" fontId="3" fillId="9" borderId="16" xfId="0" applyNumberFormat="1" applyFont="1" applyFill="1" applyBorder="1" applyAlignment="1">
      <alignment horizontal="right" vertical="center" wrapText="1"/>
    </xf>
    <xf numFmtId="4" fontId="8" fillId="0" borderId="16" xfId="1" applyNumberFormat="1" applyFont="1" applyFill="1" applyBorder="1" applyAlignment="1">
      <alignment horizontal="right" vertical="center" wrapText="1"/>
    </xf>
    <xf numFmtId="4" fontId="3" fillId="0" borderId="16" xfId="0" applyNumberFormat="1" applyFont="1" applyBorder="1" applyAlignment="1">
      <alignment horizontal="right" vertical="center" wrapText="1"/>
    </xf>
    <xf numFmtId="4" fontId="3" fillId="9" borderId="16" xfId="1" applyNumberFormat="1" applyFont="1" applyFill="1" applyBorder="1" applyAlignment="1">
      <alignment horizontal="right" vertical="center" wrapText="1"/>
    </xf>
    <xf numFmtId="4" fontId="8" fillId="9" borderId="16" xfId="0" applyNumberFormat="1" applyFont="1" applyFill="1" applyBorder="1" applyAlignment="1">
      <alignment horizontal="right" vertical="center" wrapText="1"/>
    </xf>
    <xf numFmtId="4" fontId="8" fillId="0" borderId="16" xfId="0" applyNumberFormat="1" applyFont="1" applyFill="1" applyBorder="1" applyAlignment="1">
      <alignment horizontal="right" vertical="center" wrapText="1"/>
    </xf>
    <xf numFmtId="4" fontId="3" fillId="6" borderId="16" xfId="0" applyNumberFormat="1" applyFont="1" applyFill="1" applyBorder="1" applyAlignment="1">
      <alignment horizontal="right" vertical="center" wrapText="1"/>
    </xf>
    <xf numFmtId="0" fontId="3" fillId="9" borderId="8" xfId="0" applyFont="1" applyFill="1" applyBorder="1" applyAlignment="1">
      <alignment vertical="center" wrapText="1"/>
    </xf>
    <xf numFmtId="0" fontId="4" fillId="9" borderId="0" xfId="0" applyFont="1" applyFill="1" applyAlignment="1">
      <alignment vertical="top" wrapText="1"/>
    </xf>
    <xf numFmtId="0" fontId="3" fillId="9" borderId="13" xfId="0" applyFont="1" applyFill="1" applyBorder="1" applyAlignment="1">
      <alignment vertical="center" wrapText="1"/>
    </xf>
    <xf numFmtId="0" fontId="4" fillId="9" borderId="16" xfId="0" applyFont="1" applyFill="1" applyBorder="1" applyAlignment="1">
      <alignment vertical="top" wrapText="1"/>
    </xf>
    <xf numFmtId="0" fontId="3" fillId="9" borderId="16" xfId="0" applyFont="1" applyFill="1" applyBorder="1" applyAlignment="1">
      <alignment horizontal="center" vertical="center" wrapText="1"/>
    </xf>
    <xf numFmtId="0" fontId="3" fillId="0" borderId="13" xfId="0" applyFont="1" applyBorder="1" applyAlignment="1">
      <alignment vertical="center" wrapText="1"/>
    </xf>
    <xf numFmtId="0" fontId="3" fillId="0" borderId="13" xfId="0" applyFont="1" applyFill="1" applyBorder="1" applyAlignment="1">
      <alignment vertical="center" wrapText="1"/>
    </xf>
    <xf numFmtId="4" fontId="3" fillId="9" borderId="16" xfId="0" applyNumberFormat="1" applyFont="1" applyFill="1" applyBorder="1" applyAlignment="1">
      <alignment vertical="center" wrapText="1"/>
    </xf>
    <xf numFmtId="4" fontId="3" fillId="9" borderId="16" xfId="0" applyNumberFormat="1" applyFont="1" applyFill="1" applyBorder="1" applyAlignment="1">
      <alignment horizontal="left" vertical="center" wrapText="1"/>
    </xf>
    <xf numFmtId="4" fontId="3" fillId="9" borderId="16" xfId="1" applyNumberFormat="1" applyFont="1" applyFill="1" applyBorder="1" applyAlignment="1">
      <alignment vertical="center" wrapText="1"/>
    </xf>
    <xf numFmtId="4" fontId="3" fillId="0" borderId="16" xfId="1" applyNumberFormat="1" applyFont="1" applyFill="1" applyBorder="1" applyAlignment="1">
      <alignment vertical="center" wrapText="1"/>
    </xf>
    <xf numFmtId="4" fontId="3" fillId="0" borderId="16" xfId="0" applyNumberFormat="1" applyFont="1" applyBorder="1" applyAlignment="1">
      <alignment vertical="center" wrapText="1"/>
    </xf>
    <xf numFmtId="4" fontId="3" fillId="9" borderId="13" xfId="0" applyNumberFormat="1" applyFont="1" applyFill="1" applyBorder="1" applyAlignment="1">
      <alignment vertical="center" wrapText="1"/>
    </xf>
    <xf numFmtId="4" fontId="8" fillId="0" borderId="16" xfId="0" applyNumberFormat="1" applyFont="1" applyFill="1" applyBorder="1" applyAlignment="1">
      <alignment vertical="center" wrapText="1"/>
    </xf>
    <xf numFmtId="4" fontId="3" fillId="7" borderId="16" xfId="0" applyNumberFormat="1" applyFont="1" applyFill="1" applyBorder="1" applyAlignment="1">
      <alignment vertical="center" wrapText="1"/>
    </xf>
    <xf numFmtId="4" fontId="3" fillId="6" borderId="16" xfId="0" applyNumberFormat="1" applyFont="1" applyFill="1" applyBorder="1" applyAlignment="1">
      <alignment vertical="center" wrapText="1"/>
    </xf>
    <xf numFmtId="4" fontId="3" fillId="0" borderId="13" xfId="0" applyNumberFormat="1" applyFont="1" applyBorder="1" applyAlignment="1">
      <alignment vertical="center" wrapText="1"/>
    </xf>
    <xf numFmtId="0" fontId="3" fillId="6" borderId="16" xfId="0" applyFont="1" applyFill="1" applyBorder="1" applyAlignment="1">
      <alignment horizontal="left" vertical="center" wrapText="1"/>
    </xf>
    <xf numFmtId="0" fontId="4" fillId="6" borderId="0" xfId="0" applyFont="1" applyFill="1" applyAlignment="1">
      <alignment vertical="top" wrapText="1"/>
    </xf>
    <xf numFmtId="4" fontId="35" fillId="10" borderId="1" xfId="0" applyNumberFormat="1" applyFont="1" applyFill="1" applyBorder="1"/>
    <xf numFmtId="4" fontId="4" fillId="0" borderId="0" xfId="0" applyNumberFormat="1" applyFont="1" applyFill="1" applyAlignment="1">
      <alignment vertical="top" wrapText="1"/>
    </xf>
    <xf numFmtId="2" fontId="4" fillId="0" borderId="0" xfId="0" applyNumberFormat="1" applyFont="1" applyFill="1" applyAlignment="1">
      <alignment vertical="top" wrapText="1"/>
    </xf>
    <xf numFmtId="0" fontId="3" fillId="0" borderId="16" xfId="0" applyFont="1" applyFill="1" applyBorder="1" applyAlignment="1">
      <alignment horizontal="right" vertical="center" wrapText="1"/>
    </xf>
    <xf numFmtId="0" fontId="3" fillId="9" borderId="21" xfId="0" applyFont="1" applyFill="1" applyBorder="1" applyAlignment="1">
      <alignment horizontal="center" vertical="center" wrapText="1"/>
    </xf>
    <xf numFmtId="0" fontId="3" fillId="9" borderId="16" xfId="0" applyFont="1" applyFill="1" applyBorder="1" applyAlignment="1">
      <alignment horizontal="left" vertical="top"/>
    </xf>
    <xf numFmtId="0" fontId="3" fillId="9" borderId="16" xfId="0" applyFont="1" applyFill="1" applyBorder="1" applyAlignment="1">
      <alignment vertical="top"/>
    </xf>
    <xf numFmtId="2" fontId="3" fillId="9" borderId="16" xfId="0" applyNumberFormat="1" applyFont="1" applyFill="1" applyBorder="1" applyAlignment="1">
      <alignment vertical="top"/>
    </xf>
    <xf numFmtId="0" fontId="3" fillId="9" borderId="16" xfId="0" applyFont="1" applyFill="1" applyBorder="1" applyAlignment="1">
      <alignment vertical="top" wrapText="1"/>
    </xf>
    <xf numFmtId="0" fontId="3" fillId="9" borderId="23" xfId="0" applyFont="1" applyFill="1" applyBorder="1" applyAlignment="1">
      <alignment vertical="center" wrapText="1"/>
    </xf>
    <xf numFmtId="4" fontId="3" fillId="9" borderId="19" xfId="0" applyNumberFormat="1" applyFont="1" applyFill="1" applyBorder="1" applyAlignment="1">
      <alignment horizontal="right" vertical="center" wrapText="1"/>
    </xf>
    <xf numFmtId="4" fontId="3" fillId="9" borderId="16" xfId="0" applyNumberFormat="1" applyFont="1" applyFill="1" applyBorder="1" applyAlignment="1">
      <alignment vertical="top"/>
    </xf>
    <xf numFmtId="0" fontId="3" fillId="9" borderId="24" xfId="0" applyFont="1" applyFill="1" applyBorder="1" applyAlignment="1">
      <alignment vertical="center" wrapText="1"/>
    </xf>
    <xf numFmtId="0" fontId="3" fillId="9" borderId="19" xfId="0" applyFont="1" applyFill="1" applyBorder="1" applyAlignment="1">
      <alignment horizontal="right" vertical="center" wrapText="1"/>
    </xf>
    <xf numFmtId="0" fontId="8" fillId="0" borderId="16" xfId="0" applyFont="1" applyFill="1" applyBorder="1" applyAlignment="1">
      <alignment horizontal="center" vertical="center" wrapText="1"/>
    </xf>
    <xf numFmtId="0" fontId="3" fillId="0" borderId="23" xfId="0" applyFont="1" applyFill="1" applyBorder="1" applyAlignment="1">
      <alignment vertical="center" wrapText="1"/>
    </xf>
    <xf numFmtId="0" fontId="4" fillId="0" borderId="16" xfId="0" applyFont="1" applyFill="1" applyBorder="1" applyAlignment="1">
      <alignment vertical="top" wrapText="1"/>
    </xf>
    <xf numFmtId="4" fontId="3" fillId="0" borderId="19" xfId="0" applyNumberFormat="1" applyFont="1" applyFill="1" applyBorder="1" applyAlignment="1">
      <alignment horizontal="right" vertical="center" wrapText="1"/>
    </xf>
    <xf numFmtId="0" fontId="3" fillId="0" borderId="16" xfId="0" applyFont="1" applyFill="1" applyBorder="1" applyAlignment="1">
      <alignment horizontal="left" vertical="top"/>
    </xf>
    <xf numFmtId="0" fontId="3" fillId="0" borderId="16" xfId="0" applyFont="1" applyFill="1" applyBorder="1" applyAlignment="1">
      <alignment vertical="top"/>
    </xf>
    <xf numFmtId="0" fontId="3" fillId="9" borderId="8" xfId="0" applyFont="1" applyFill="1" applyBorder="1" applyAlignment="1">
      <alignment vertical="top" wrapText="1"/>
    </xf>
    <xf numFmtId="0" fontId="3" fillId="9" borderId="21" xfId="0" applyFont="1" applyFill="1" applyBorder="1" applyAlignment="1">
      <alignment vertical="center" wrapText="1"/>
    </xf>
    <xf numFmtId="0" fontId="3" fillId="9" borderId="21" xfId="0" applyFont="1" applyFill="1" applyBorder="1" applyAlignment="1">
      <alignment vertical="top"/>
    </xf>
    <xf numFmtId="0" fontId="3" fillId="9" borderId="22" xfId="0" applyFont="1" applyFill="1" applyBorder="1" applyAlignment="1">
      <alignment vertical="top" wrapText="1"/>
    </xf>
    <xf numFmtId="0" fontId="3" fillId="0" borderId="19" xfId="0" applyFont="1" applyFill="1" applyBorder="1" applyAlignment="1">
      <alignment vertical="top" wrapText="1"/>
    </xf>
    <xf numFmtId="0" fontId="3" fillId="9" borderId="19" xfId="0" applyFont="1" applyFill="1" applyBorder="1" applyAlignment="1">
      <alignment vertical="top" wrapText="1"/>
    </xf>
    <xf numFmtId="0" fontId="3" fillId="9" borderId="8" xfId="0" applyFont="1" applyFill="1" applyBorder="1" applyAlignment="1">
      <alignment vertical="top"/>
    </xf>
    <xf numFmtId="0" fontId="7" fillId="0" borderId="16" xfId="0" applyFont="1" applyBorder="1" applyAlignment="1">
      <alignment vertical="top" wrapText="1"/>
    </xf>
    <xf numFmtId="14" fontId="8" fillId="0" borderId="16" xfId="0" applyNumberFormat="1" applyFont="1" applyFill="1" applyBorder="1" applyAlignment="1">
      <alignment horizontal="center" vertical="center" wrapText="1"/>
    </xf>
    <xf numFmtId="0" fontId="4" fillId="6" borderId="16" xfId="0" applyFont="1" applyFill="1" applyBorder="1" applyAlignment="1">
      <alignment vertical="top" wrapText="1"/>
    </xf>
    <xf numFmtId="0" fontId="3" fillId="9" borderId="21" xfId="0" applyFont="1" applyFill="1" applyBorder="1" applyAlignment="1">
      <alignment vertical="top" wrapText="1"/>
    </xf>
    <xf numFmtId="0" fontId="8" fillId="0" borderId="16" xfId="0" applyFont="1" applyFill="1" applyBorder="1" applyAlignment="1">
      <alignment vertical="top"/>
    </xf>
    <xf numFmtId="0" fontId="3" fillId="9" borderId="21" xfId="0" applyFont="1" applyFill="1" applyBorder="1" applyAlignment="1">
      <alignment horizontal="left" vertical="center" wrapText="1"/>
    </xf>
    <xf numFmtId="0" fontId="8" fillId="0" borderId="19" xfId="0" applyFont="1" applyFill="1" applyBorder="1" applyAlignment="1">
      <alignment vertical="top" wrapText="1"/>
    </xf>
    <xf numFmtId="4" fontId="3" fillId="9" borderId="25" xfId="0" applyNumberFormat="1" applyFont="1" applyFill="1" applyBorder="1" applyAlignment="1">
      <alignment horizontal="right" vertical="center" wrapText="1"/>
    </xf>
    <xf numFmtId="0" fontId="3" fillId="9" borderId="13" xfId="0" applyFont="1" applyFill="1" applyBorder="1" applyAlignment="1">
      <alignment vertical="top"/>
    </xf>
    <xf numFmtId="0" fontId="3" fillId="9" borderId="25" xfId="0" applyFont="1" applyFill="1" applyBorder="1" applyAlignment="1">
      <alignment vertical="top" wrapText="1"/>
    </xf>
    <xf numFmtId="49" fontId="3" fillId="9" borderId="16" xfId="0" applyNumberFormat="1" applyFont="1" applyFill="1" applyBorder="1" applyAlignment="1">
      <alignment horizontal="left" vertical="top"/>
    </xf>
    <xf numFmtId="0" fontId="3" fillId="9" borderId="16" xfId="0" applyFont="1" applyFill="1" applyBorder="1" applyAlignment="1">
      <alignment horizontal="left" vertical="top" wrapText="1"/>
    </xf>
    <xf numFmtId="0" fontId="8" fillId="0" borderId="16" xfId="0" applyFont="1" applyFill="1" applyBorder="1" applyAlignment="1">
      <alignment horizontal="left" vertical="top"/>
    </xf>
    <xf numFmtId="0" fontId="3" fillId="9" borderId="33" xfId="0" applyFont="1" applyFill="1" applyBorder="1" applyAlignment="1">
      <alignment vertical="center" wrapText="1"/>
    </xf>
    <xf numFmtId="0" fontId="3" fillId="9" borderId="31" xfId="0" applyFont="1" applyFill="1" applyBorder="1" applyAlignment="1">
      <alignment vertical="center" wrapText="1"/>
    </xf>
    <xf numFmtId="0" fontId="3" fillId="9" borderId="31" xfId="0" applyFont="1" applyFill="1" applyBorder="1" applyAlignment="1">
      <alignment horizontal="center" vertical="center" wrapText="1"/>
    </xf>
    <xf numFmtId="4" fontId="3" fillId="9" borderId="34" xfId="0" applyNumberFormat="1" applyFont="1" applyFill="1" applyBorder="1" applyAlignment="1">
      <alignment horizontal="right" vertical="center" wrapText="1"/>
    </xf>
    <xf numFmtId="0" fontId="3" fillId="9" borderId="35" xfId="0" applyFont="1" applyFill="1" applyBorder="1" applyAlignment="1">
      <alignment horizontal="left" vertical="top"/>
    </xf>
    <xf numFmtId="0" fontId="3" fillId="9" borderId="31" xfId="0" applyFont="1" applyFill="1" applyBorder="1" applyAlignment="1">
      <alignment vertical="top"/>
    </xf>
    <xf numFmtId="0" fontId="3" fillId="9" borderId="34" xfId="0" applyFont="1" applyFill="1" applyBorder="1" applyAlignment="1">
      <alignment vertical="top" wrapText="1"/>
    </xf>
    <xf numFmtId="0" fontId="3" fillId="9" borderId="21" xfId="0" applyFont="1" applyFill="1" applyBorder="1" applyAlignment="1">
      <alignment horizontal="right" vertical="center" wrapText="1"/>
    </xf>
    <xf numFmtId="0" fontId="3" fillId="0" borderId="26" xfId="0" applyFont="1" applyFill="1" applyBorder="1" applyAlignment="1">
      <alignment vertical="center" wrapText="1"/>
    </xf>
    <xf numFmtId="0" fontId="3" fillId="0" borderId="26" xfId="0" applyFont="1" applyFill="1" applyBorder="1" applyAlignment="1">
      <alignment horizontal="center" vertical="center" wrapText="1"/>
    </xf>
    <xf numFmtId="4" fontId="3" fillId="0" borderId="26" xfId="0" applyNumberFormat="1" applyFont="1" applyFill="1" applyBorder="1" applyAlignment="1">
      <alignment horizontal="right" vertical="center" wrapText="1"/>
    </xf>
    <xf numFmtId="0" fontId="3" fillId="0" borderId="26" xfId="0" applyFont="1" applyFill="1" applyBorder="1" applyAlignment="1">
      <alignment horizontal="left" vertical="top"/>
    </xf>
    <xf numFmtId="0" fontId="3" fillId="0" borderId="26" xfId="0" applyFont="1" applyFill="1" applyBorder="1" applyAlignment="1">
      <alignment vertical="top"/>
    </xf>
    <xf numFmtId="0" fontId="3" fillId="0" borderId="27" xfId="0" applyFont="1" applyFill="1" applyBorder="1" applyAlignment="1">
      <alignment vertical="top" wrapText="1"/>
    </xf>
    <xf numFmtId="14" fontId="3" fillId="9" borderId="16" xfId="0" applyNumberFormat="1" applyFont="1" applyFill="1" applyBorder="1" applyAlignment="1">
      <alignment horizontal="left" vertical="top"/>
    </xf>
    <xf numFmtId="14" fontId="3" fillId="9" borderId="16" xfId="0" applyNumberFormat="1" applyFont="1" applyFill="1" applyBorder="1" applyAlignment="1">
      <alignment horizontal="left" vertical="top" wrapText="1"/>
    </xf>
    <xf numFmtId="14" fontId="3" fillId="9" borderId="13" xfId="0" applyNumberFormat="1" applyFont="1" applyFill="1" applyBorder="1" applyAlignment="1">
      <alignment horizontal="left" vertical="top"/>
    </xf>
    <xf numFmtId="14" fontId="3" fillId="9" borderId="21" xfId="0" applyNumberFormat="1" applyFont="1" applyFill="1" applyBorder="1" applyAlignment="1">
      <alignment horizontal="left" vertical="top" wrapText="1"/>
    </xf>
    <xf numFmtId="0" fontId="3" fillId="9" borderId="31" xfId="0" applyFont="1" applyFill="1" applyBorder="1" applyAlignment="1">
      <alignment horizontal="left" vertical="top"/>
    </xf>
    <xf numFmtId="0" fontId="41" fillId="4" borderId="0" xfId="0" applyFont="1" applyFill="1" applyBorder="1" applyAlignment="1">
      <alignment wrapText="1"/>
    </xf>
    <xf numFmtId="4" fontId="0" fillId="0" borderId="0" xfId="0" applyNumberFormat="1" applyBorder="1"/>
    <xf numFmtId="4" fontId="0" fillId="0" borderId="0" xfId="0" applyNumberFormat="1" applyFill="1" applyBorder="1" applyAlignment="1">
      <alignment horizontal="center"/>
    </xf>
    <xf numFmtId="0" fontId="0" fillId="0" borderId="0" xfId="0" applyFill="1" applyBorder="1" applyAlignment="1">
      <alignment wrapText="1"/>
    </xf>
    <xf numFmtId="4" fontId="0" fillId="0" borderId="0" xfId="0" applyNumberFormat="1" applyFill="1" applyBorder="1"/>
    <xf numFmtId="4" fontId="8" fillId="9" borderId="16" xfId="1" applyNumberFormat="1" applyFont="1" applyFill="1" applyBorder="1" applyAlignment="1">
      <alignment vertical="center" wrapText="1"/>
    </xf>
    <xf numFmtId="0" fontId="8" fillId="9" borderId="16" xfId="0" applyFont="1" applyFill="1" applyBorder="1" applyAlignment="1">
      <alignment horizontal="left" vertical="center" wrapText="1"/>
    </xf>
    <xf numFmtId="14" fontId="8" fillId="9" borderId="16" xfId="0" applyNumberFormat="1" applyFont="1" applyFill="1" applyBorder="1" applyAlignment="1">
      <alignment horizontal="left" vertical="center"/>
    </xf>
    <xf numFmtId="0" fontId="8" fillId="9" borderId="16" xfId="0" applyFont="1" applyFill="1" applyBorder="1" applyAlignment="1">
      <alignment vertical="center"/>
    </xf>
    <xf numFmtId="4" fontId="8" fillId="9" borderId="16" xfId="1" applyNumberFormat="1" applyFont="1" applyFill="1" applyBorder="1" applyAlignment="1">
      <alignment horizontal="right" vertical="center"/>
    </xf>
    <xf numFmtId="4" fontId="8" fillId="0" borderId="16" xfId="1" applyNumberFormat="1" applyFont="1" applyFill="1" applyBorder="1" applyAlignment="1">
      <alignment vertical="center" wrapText="1"/>
    </xf>
    <xf numFmtId="14" fontId="8" fillId="0" borderId="16" xfId="0" applyNumberFormat="1" applyFont="1" applyFill="1" applyBorder="1" applyAlignment="1">
      <alignment horizontal="left" vertical="center"/>
    </xf>
    <xf numFmtId="0" fontId="8" fillId="0" borderId="16" xfId="0" applyFont="1" applyFill="1" applyBorder="1" applyAlignment="1">
      <alignment vertical="center"/>
    </xf>
    <xf numFmtId="4" fontId="8" fillId="0" borderId="16" xfId="1" applyNumberFormat="1" applyFont="1" applyFill="1" applyBorder="1" applyAlignment="1">
      <alignment horizontal="right" vertical="center"/>
    </xf>
    <xf numFmtId="4" fontId="3" fillId="9" borderId="16" xfId="0" applyNumberFormat="1" applyFont="1" applyFill="1" applyBorder="1" applyAlignment="1">
      <alignment vertical="top" wrapText="1"/>
    </xf>
    <xf numFmtId="4" fontId="3" fillId="9" borderId="13" xfId="0" applyNumberFormat="1" applyFont="1" applyFill="1" applyBorder="1" applyAlignment="1">
      <alignment vertical="top"/>
    </xf>
    <xf numFmtId="0" fontId="7" fillId="9" borderId="16" xfId="0" applyFont="1" applyFill="1" applyBorder="1" applyAlignment="1">
      <alignment vertical="top" wrapText="1"/>
    </xf>
    <xf numFmtId="14" fontId="8" fillId="6" borderId="16" xfId="0" applyNumberFormat="1" applyFont="1" applyFill="1" applyBorder="1" applyAlignment="1">
      <alignment vertical="center" wrapText="1"/>
    </xf>
    <xf numFmtId="4" fontId="8" fillId="6" borderId="16" xfId="0" applyNumberFormat="1" applyFont="1" applyFill="1" applyBorder="1" applyAlignment="1">
      <alignment horizontal="right" vertical="center" wrapText="1"/>
    </xf>
    <xf numFmtId="2" fontId="8" fillId="6" borderId="16" xfId="0" applyNumberFormat="1" applyFont="1" applyFill="1" applyBorder="1" applyAlignment="1">
      <alignment horizontal="right" vertical="center" wrapText="1"/>
    </xf>
    <xf numFmtId="0" fontId="8" fillId="6" borderId="10" xfId="0" applyFont="1" applyFill="1" applyBorder="1" applyAlignment="1">
      <alignment vertical="center" wrapText="1"/>
    </xf>
    <xf numFmtId="0" fontId="8" fillId="6" borderId="13" xfId="0" applyFont="1" applyFill="1" applyBorder="1" applyAlignment="1">
      <alignment vertical="center" wrapText="1"/>
    </xf>
    <xf numFmtId="4" fontId="8" fillId="6" borderId="13" xfId="0" applyNumberFormat="1" applyFont="1" applyFill="1" applyBorder="1" applyAlignment="1">
      <alignment horizontal="right" vertical="center" wrapText="1"/>
    </xf>
    <xf numFmtId="4" fontId="8" fillId="6" borderId="8" xfId="0" applyNumberFormat="1" applyFont="1" applyFill="1" applyBorder="1" applyAlignment="1">
      <alignment horizontal="right" vertical="center" wrapText="1"/>
    </xf>
    <xf numFmtId="0" fontId="8" fillId="6" borderId="8" xfId="0" applyFont="1" applyFill="1" applyBorder="1" applyAlignment="1">
      <alignment vertical="center" wrapText="1"/>
    </xf>
    <xf numFmtId="2" fontId="8" fillId="6" borderId="8" xfId="0" applyNumberFormat="1" applyFont="1" applyFill="1" applyBorder="1" applyAlignment="1">
      <alignment horizontal="right" vertical="center" wrapText="1"/>
    </xf>
    <xf numFmtId="0" fontId="7" fillId="0" borderId="16" xfId="0" applyFont="1" applyFill="1" applyBorder="1" applyAlignment="1">
      <alignment vertical="top" wrapText="1"/>
    </xf>
    <xf numFmtId="0" fontId="3" fillId="6" borderId="16" xfId="0" applyFont="1" applyFill="1" applyBorder="1" applyAlignment="1">
      <alignment vertical="top" wrapText="1"/>
    </xf>
    <xf numFmtId="0" fontId="12" fillId="6" borderId="16" xfId="0" applyFont="1" applyFill="1" applyBorder="1" applyAlignment="1">
      <alignment horizontal="right" vertical="top" wrapText="1"/>
    </xf>
    <xf numFmtId="4" fontId="34" fillId="6" borderId="16" xfId="0" applyNumberFormat="1" applyFont="1" applyFill="1" applyBorder="1" applyAlignment="1">
      <alignment horizontal="right" vertical="top" wrapText="1"/>
    </xf>
    <xf numFmtId="0" fontId="32" fillId="6" borderId="16" xfId="0" applyFont="1" applyFill="1" applyBorder="1" applyAlignment="1">
      <alignment vertical="top" wrapText="1"/>
    </xf>
    <xf numFmtId="14" fontId="32" fillId="6" borderId="16" xfId="0" applyNumberFormat="1" applyFont="1" applyFill="1" applyBorder="1" applyAlignment="1">
      <alignment vertical="top" wrapText="1"/>
    </xf>
    <xf numFmtId="4" fontId="32" fillId="6" borderId="16" xfId="0" applyNumberFormat="1" applyFont="1" applyFill="1" applyBorder="1" applyAlignment="1">
      <alignment vertical="top" wrapText="1"/>
    </xf>
    <xf numFmtId="49" fontId="32" fillId="6" borderId="16" xfId="0" applyNumberFormat="1" applyFont="1" applyFill="1" applyBorder="1" applyAlignment="1">
      <alignment horizontal="right" vertical="top" wrapText="1"/>
    </xf>
    <xf numFmtId="0" fontId="32" fillId="6" borderId="16" xfId="0" applyFont="1" applyFill="1" applyBorder="1" applyAlignment="1">
      <alignment vertical="center" wrapText="1"/>
    </xf>
    <xf numFmtId="4" fontId="12" fillId="6" borderId="16" xfId="0" applyNumberFormat="1" applyFont="1" applyFill="1" applyBorder="1" applyAlignment="1">
      <alignment horizontal="right" vertical="top"/>
    </xf>
    <xf numFmtId="0" fontId="12" fillId="6" borderId="16" xfId="0" applyFont="1" applyFill="1" applyBorder="1" applyAlignment="1">
      <alignment horizontal="right" vertical="top"/>
    </xf>
    <xf numFmtId="4" fontId="34" fillId="6" borderId="16" xfId="0" applyNumberFormat="1" applyFont="1" applyFill="1" applyBorder="1" applyAlignment="1">
      <alignment horizontal="right" vertical="top"/>
    </xf>
    <xf numFmtId="0" fontId="28" fillId="10" borderId="16" xfId="0" applyFont="1" applyFill="1" applyBorder="1" applyAlignment="1">
      <alignment vertical="center" wrapText="1"/>
    </xf>
    <xf numFmtId="0" fontId="14" fillId="10" borderId="16" xfId="0" applyFont="1" applyFill="1" applyBorder="1" applyAlignment="1">
      <alignment horizontal="right" vertical="center" wrapText="1"/>
    </xf>
    <xf numFmtId="3" fontId="14" fillId="10" borderId="16" xfId="0" applyNumberFormat="1" applyFont="1" applyFill="1" applyBorder="1" applyAlignment="1">
      <alignment horizontal="right" vertical="center" wrapText="1"/>
    </xf>
    <xf numFmtId="0" fontId="3" fillId="10" borderId="12" xfId="0" applyFont="1" applyFill="1" applyBorder="1" applyAlignment="1">
      <alignment vertical="top" wrapText="1"/>
    </xf>
    <xf numFmtId="14" fontId="3" fillId="10" borderId="16" xfId="0" applyNumberFormat="1" applyFont="1" applyFill="1" applyBorder="1" applyAlignment="1">
      <alignment vertical="top" wrapText="1"/>
    </xf>
    <xf numFmtId="0" fontId="12" fillId="10" borderId="16" xfId="0" applyFont="1" applyFill="1" applyBorder="1" applyAlignment="1">
      <alignment horizontal="center" vertical="top" wrapText="1"/>
    </xf>
    <xf numFmtId="164" fontId="14" fillId="10" borderId="16" xfId="3" applyFont="1" applyFill="1" applyBorder="1" applyAlignment="1">
      <alignment horizontal="center" vertical="top" wrapText="1"/>
    </xf>
    <xf numFmtId="166" fontId="14" fillId="10" borderId="16" xfId="3" applyNumberFormat="1" applyFont="1" applyFill="1" applyBorder="1" applyAlignment="1">
      <alignment horizontal="center" vertical="top" wrapText="1"/>
    </xf>
    <xf numFmtId="164" fontId="3" fillId="10" borderId="16" xfId="3" applyFont="1" applyFill="1" applyBorder="1" applyAlignment="1">
      <alignment vertical="top" wrapText="1"/>
    </xf>
    <xf numFmtId="0" fontId="8" fillId="10" borderId="16" xfId="0" applyFont="1" applyFill="1" applyBorder="1" applyAlignment="1">
      <alignment vertical="top" wrapText="1"/>
    </xf>
    <xf numFmtId="0" fontId="3" fillId="10" borderId="16" xfId="0" applyFont="1" applyFill="1" applyBorder="1" applyAlignment="1">
      <alignment horizontal="center" vertical="top" wrapText="1"/>
    </xf>
    <xf numFmtId="166" fontId="3" fillId="10" borderId="13" xfId="3" applyNumberFormat="1" applyFont="1" applyFill="1" applyBorder="1" applyAlignment="1">
      <alignment horizontal="center" vertical="top" wrapText="1"/>
    </xf>
    <xf numFmtId="166" fontId="3" fillId="10" borderId="8" xfId="3" applyNumberFormat="1" applyFont="1" applyFill="1" applyBorder="1" applyAlignment="1">
      <alignment horizontal="center" vertical="top" wrapText="1"/>
    </xf>
    <xf numFmtId="166" fontId="3" fillId="10" borderId="20" xfId="3" applyNumberFormat="1" applyFont="1" applyFill="1" applyBorder="1" applyAlignment="1">
      <alignment horizontal="center" vertical="top" wrapText="1"/>
    </xf>
    <xf numFmtId="0" fontId="3" fillId="10" borderId="13" xfId="0" applyFont="1" applyFill="1" applyBorder="1" applyAlignment="1">
      <alignment vertical="top" wrapText="1"/>
    </xf>
    <xf numFmtId="14" fontId="3" fillId="10" borderId="13" xfId="0" applyNumberFormat="1" applyFont="1" applyFill="1" applyBorder="1" applyAlignment="1">
      <alignment vertical="top" wrapText="1"/>
    </xf>
    <xf numFmtId="0" fontId="12" fillId="10" borderId="13" xfId="0" applyFont="1" applyFill="1" applyBorder="1" applyAlignment="1">
      <alignment vertical="top" wrapText="1"/>
    </xf>
    <xf numFmtId="164" fontId="3" fillId="10" borderId="13" xfId="3" applyFont="1" applyFill="1" applyBorder="1" applyAlignment="1">
      <alignment vertical="top" wrapText="1"/>
    </xf>
    <xf numFmtId="166" fontId="3" fillId="10" borderId="13" xfId="3" applyNumberFormat="1" applyFont="1" applyFill="1" applyBorder="1" applyAlignment="1">
      <alignment vertical="top" wrapText="1"/>
    </xf>
    <xf numFmtId="164" fontId="14" fillId="10" borderId="13" xfId="3" applyFont="1" applyFill="1" applyBorder="1" applyAlignment="1">
      <alignment horizontal="center" vertical="top" wrapText="1"/>
    </xf>
    <xf numFmtId="166" fontId="3" fillId="10" borderId="13" xfId="3" applyNumberFormat="1" applyFont="1" applyFill="1" applyBorder="1" applyAlignment="1">
      <alignment horizontal="right" vertical="center" wrapText="1"/>
    </xf>
    <xf numFmtId="0" fontId="3" fillId="10" borderId="12" xfId="0" applyFont="1" applyFill="1" applyBorder="1" applyAlignment="1">
      <alignment horizontal="center" vertical="center" wrapText="1"/>
    </xf>
    <xf numFmtId="0" fontId="12" fillId="10" borderId="16" xfId="0" applyFont="1" applyFill="1" applyBorder="1" applyAlignment="1">
      <alignment horizontal="center" vertical="center" wrapText="1"/>
    </xf>
    <xf numFmtId="164" fontId="14" fillId="10" borderId="16" xfId="3" applyFont="1" applyFill="1" applyBorder="1" applyAlignment="1">
      <alignment horizontal="center" vertical="center" wrapText="1"/>
    </xf>
    <xf numFmtId="166" fontId="14" fillId="10" borderId="16" xfId="3" applyNumberFormat="1" applyFont="1" applyFill="1" applyBorder="1" applyAlignment="1">
      <alignment horizontal="center" vertical="center" wrapText="1"/>
    </xf>
    <xf numFmtId="164" fontId="3" fillId="10" borderId="16" xfId="3" applyFont="1" applyFill="1" applyBorder="1" applyAlignment="1">
      <alignment horizontal="center" vertical="center" wrapText="1"/>
    </xf>
    <xf numFmtId="0" fontId="8" fillId="10" borderId="16" xfId="0" applyFont="1" applyFill="1" applyBorder="1" applyAlignment="1">
      <alignment horizontal="center" vertical="center" wrapText="1"/>
    </xf>
    <xf numFmtId="49" fontId="3" fillId="10" borderId="16" xfId="0" applyNumberFormat="1" applyFont="1" applyFill="1" applyBorder="1" applyAlignment="1">
      <alignment horizontal="center" vertical="center" wrapText="1"/>
    </xf>
    <xf numFmtId="2" fontId="6" fillId="6" borderId="13" xfId="0" applyNumberFormat="1" applyFont="1" applyFill="1" applyBorder="1" applyAlignment="1">
      <alignment horizontal="center" vertical="center" wrapText="1"/>
    </xf>
    <xf numFmtId="0" fontId="3" fillId="0" borderId="37" xfId="0" applyFont="1" applyBorder="1" applyAlignment="1">
      <alignment vertical="top" wrapText="1"/>
    </xf>
    <xf numFmtId="0" fontId="3" fillId="0" borderId="0" xfId="0" applyFont="1" applyBorder="1" applyAlignment="1">
      <alignment horizontal="center" vertical="center" wrapText="1"/>
    </xf>
    <xf numFmtId="0" fontId="3" fillId="0" borderId="28" xfId="0" applyFont="1" applyBorder="1" applyAlignment="1">
      <alignment horizontal="center" vertical="center" wrapText="1"/>
    </xf>
    <xf numFmtId="0" fontId="35" fillId="10" borderId="1" xfId="0" applyFont="1" applyFill="1" applyBorder="1"/>
    <xf numFmtId="0" fontId="42" fillId="10" borderId="1" xfId="0" applyFont="1" applyFill="1" applyBorder="1" applyAlignment="1">
      <alignment wrapText="1"/>
    </xf>
    <xf numFmtId="4" fontId="35" fillId="10" borderId="1" xfId="0" applyNumberFormat="1" applyFont="1" applyFill="1" applyBorder="1" applyAlignment="1">
      <alignment horizontal="center"/>
    </xf>
    <xf numFmtId="4" fontId="35" fillId="10" borderId="0" xfId="0" applyNumberFormat="1" applyFont="1" applyFill="1"/>
    <xf numFmtId="0" fontId="3" fillId="0" borderId="8" xfId="0" applyFont="1" applyFill="1" applyBorder="1" applyAlignment="1">
      <alignment vertical="center" wrapText="1"/>
    </xf>
    <xf numFmtId="4" fontId="35" fillId="10" borderId="1" xfId="0" applyNumberFormat="1" applyFont="1" applyFill="1" applyBorder="1" applyAlignment="1">
      <alignment horizontal="right"/>
    </xf>
    <xf numFmtId="2" fontId="8" fillId="0" borderId="0" xfId="0" applyNumberFormat="1" applyFont="1" applyFill="1" applyAlignment="1">
      <alignment vertical="top" wrapText="1"/>
    </xf>
    <xf numFmtId="0" fontId="3" fillId="11" borderId="16" xfId="0" applyFont="1" applyFill="1" applyBorder="1" applyAlignment="1">
      <alignment horizontal="center" vertical="top" wrapText="1"/>
    </xf>
    <xf numFmtId="0" fontId="8" fillId="11" borderId="12" xfId="2" applyFont="1" applyFill="1" applyBorder="1" applyAlignment="1">
      <alignment vertical="top" wrapText="1"/>
    </xf>
    <xf numFmtId="0" fontId="8" fillId="11" borderId="16" xfId="0" applyFont="1" applyFill="1" applyBorder="1" applyAlignment="1">
      <alignment horizontal="center" wrapText="1"/>
    </xf>
    <xf numFmtId="0" fontId="8" fillId="11" borderId="19" xfId="0" applyFont="1" applyFill="1" applyBorder="1" applyAlignment="1">
      <alignment wrapText="1"/>
    </xf>
    <xf numFmtId="0" fontId="3" fillId="11" borderId="16" xfId="0" applyFont="1" applyFill="1" applyBorder="1" applyAlignment="1">
      <alignment horizontal="right" wrapText="1"/>
    </xf>
    <xf numFmtId="4" fontId="3" fillId="11" borderId="16" xfId="0" applyNumberFormat="1" applyFont="1" applyFill="1" applyBorder="1" applyAlignment="1">
      <alignment wrapText="1"/>
    </xf>
    <xf numFmtId="0" fontId="8" fillId="11" borderId="16" xfId="0" applyFont="1" applyFill="1" applyBorder="1" applyAlignment="1">
      <alignment wrapText="1"/>
    </xf>
    <xf numFmtId="0" fontId="8" fillId="10" borderId="12" xfId="2" applyFont="1" applyFill="1" applyBorder="1" applyAlignment="1">
      <alignment vertical="top" wrapText="1"/>
    </xf>
    <xf numFmtId="0" fontId="3" fillId="10" borderId="16" xfId="0" applyFont="1" applyFill="1" applyBorder="1" applyAlignment="1">
      <alignment horizontal="right" wrapText="1"/>
    </xf>
    <xf numFmtId="4" fontId="3" fillId="10" borderId="16" xfId="0" applyNumberFormat="1" applyFont="1" applyFill="1" applyBorder="1" applyAlignment="1">
      <alignment wrapText="1"/>
    </xf>
    <xf numFmtId="0" fontId="3" fillId="10" borderId="16" xfId="0" applyFont="1" applyFill="1" applyBorder="1" applyAlignment="1">
      <alignment wrapText="1"/>
    </xf>
    <xf numFmtId="0" fontId="8" fillId="7" borderId="12" xfId="2" applyFont="1" applyFill="1" applyBorder="1" applyAlignment="1">
      <alignment vertical="top" wrapText="1"/>
    </xf>
    <xf numFmtId="0" fontId="3" fillId="7" borderId="16" xfId="0" applyFont="1" applyFill="1" applyBorder="1" applyAlignment="1">
      <alignment horizontal="right" wrapText="1"/>
    </xf>
    <xf numFmtId="4" fontId="3" fillId="7" borderId="16" xfId="0" applyNumberFormat="1" applyFont="1" applyFill="1" applyBorder="1" applyAlignment="1">
      <alignment wrapText="1"/>
    </xf>
    <xf numFmtId="0" fontId="3" fillId="7" borderId="16" xfId="0" applyFont="1" applyFill="1" applyBorder="1" applyAlignment="1">
      <alignment wrapText="1"/>
    </xf>
    <xf numFmtId="0" fontId="8" fillId="10" borderId="16" xfId="0" applyFont="1" applyFill="1" applyBorder="1" applyAlignment="1">
      <alignment horizontal="center" wrapText="1"/>
    </xf>
    <xf numFmtId="0" fontId="8" fillId="10" borderId="19" xfId="0" applyFont="1" applyFill="1" applyBorder="1" applyAlignment="1">
      <alignment wrapText="1"/>
    </xf>
    <xf numFmtId="4" fontId="8" fillId="10" borderId="16" xfId="0" applyNumberFormat="1" applyFont="1" applyFill="1" applyBorder="1" applyAlignment="1">
      <alignment wrapText="1"/>
    </xf>
    <xf numFmtId="0" fontId="8" fillId="10" borderId="16" xfId="0" applyFont="1" applyFill="1" applyBorder="1" applyAlignment="1">
      <alignment wrapText="1"/>
    </xf>
    <xf numFmtId="0" fontId="3" fillId="11" borderId="16" xfId="0" applyFont="1" applyFill="1" applyBorder="1" applyAlignment="1">
      <alignment wrapText="1"/>
    </xf>
    <xf numFmtId="0" fontId="8" fillId="0" borderId="12" xfId="2" applyFont="1" applyFill="1" applyBorder="1" applyAlignment="1">
      <alignment vertical="top" wrapText="1"/>
    </xf>
    <xf numFmtId="0" fontId="8" fillId="0" borderId="16" xfId="0" applyFont="1" applyFill="1" applyBorder="1" applyAlignment="1">
      <alignment horizontal="center" wrapText="1"/>
    </xf>
    <xf numFmtId="0" fontId="8" fillId="0" borderId="19" xfId="0" applyFont="1" applyFill="1" applyBorder="1" applyAlignment="1">
      <alignment wrapText="1"/>
    </xf>
    <xf numFmtId="4" fontId="3" fillId="0" borderId="16" xfId="0" applyNumberFormat="1" applyFont="1" applyFill="1" applyBorder="1" applyAlignment="1">
      <alignment wrapText="1"/>
    </xf>
    <xf numFmtId="4" fontId="3" fillId="0" borderId="16" xfId="0" applyNumberFormat="1" applyFont="1" applyFill="1" applyBorder="1" applyAlignment="1">
      <alignment vertical="top" wrapText="1"/>
    </xf>
    <xf numFmtId="0" fontId="3" fillId="0" borderId="16" xfId="0" applyFont="1" applyFill="1" applyBorder="1" applyAlignment="1">
      <alignment wrapText="1"/>
    </xf>
    <xf numFmtId="4" fontId="3" fillId="10" borderId="16" xfId="0" applyNumberFormat="1" applyFont="1" applyFill="1" applyBorder="1" applyAlignment="1">
      <alignment horizontal="right" wrapText="1"/>
    </xf>
    <xf numFmtId="0" fontId="3" fillId="10" borderId="16" xfId="0" applyFont="1" applyFill="1" applyBorder="1" applyAlignment="1">
      <alignment horizontal="left" wrapText="1"/>
    </xf>
    <xf numFmtId="0" fontId="3" fillId="10" borderId="16" xfId="0" applyFont="1" applyFill="1" applyBorder="1" applyAlignment="1">
      <alignment horizontal="left" vertical="top" wrapText="1"/>
    </xf>
    <xf numFmtId="0" fontId="8" fillId="10" borderId="12" xfId="2" applyFont="1" applyFill="1" applyBorder="1" applyAlignment="1">
      <alignment horizontal="left" vertical="top" wrapText="1"/>
    </xf>
    <xf numFmtId="0" fontId="8" fillId="10" borderId="12" xfId="2" applyFont="1" applyFill="1" applyBorder="1"/>
    <xf numFmtId="0" fontId="8" fillId="0" borderId="12" xfId="2" applyFont="1" applyFill="1" applyBorder="1" applyAlignment="1">
      <alignment horizontal="left" wrapText="1"/>
    </xf>
    <xf numFmtId="0" fontId="8" fillId="10" borderId="12" xfId="2" applyFont="1" applyFill="1" applyBorder="1" applyAlignment="1">
      <alignment wrapText="1"/>
    </xf>
    <xf numFmtId="0" fontId="6" fillId="11" borderId="16" xfId="0" applyFont="1" applyFill="1" applyBorder="1" applyAlignment="1">
      <alignment vertical="top" wrapText="1"/>
    </xf>
    <xf numFmtId="0" fontId="3" fillId="10" borderId="0" xfId="0" applyFont="1" applyFill="1" applyBorder="1" applyAlignment="1">
      <alignment vertical="top" wrapText="1"/>
    </xf>
    <xf numFmtId="0" fontId="3" fillId="7" borderId="0" xfId="0" applyFont="1" applyFill="1" applyBorder="1" applyAlignment="1">
      <alignment vertical="top" wrapText="1"/>
    </xf>
    <xf numFmtId="0" fontId="3" fillId="11" borderId="0" xfId="0" applyFont="1" applyFill="1" applyBorder="1" applyAlignment="1">
      <alignment vertical="top" wrapText="1"/>
    </xf>
    <xf numFmtId="0" fontId="3" fillId="0" borderId="0" xfId="0" applyFont="1" applyFill="1" applyBorder="1" applyAlignment="1">
      <alignment vertical="top" wrapText="1"/>
    </xf>
    <xf numFmtId="0" fontId="3" fillId="9" borderId="38" xfId="0" applyFont="1" applyFill="1" applyBorder="1" applyAlignment="1">
      <alignment vertical="center" wrapText="1"/>
    </xf>
    <xf numFmtId="4" fontId="3" fillId="9" borderId="30" xfId="0" applyNumberFormat="1" applyFont="1" applyFill="1" applyBorder="1" applyAlignment="1">
      <alignment horizontal="right" vertical="center" wrapText="1"/>
    </xf>
    <xf numFmtId="0" fontId="3" fillId="9" borderId="8" xfId="0" applyFont="1" applyFill="1" applyBorder="1" applyAlignment="1">
      <alignment horizontal="left" vertical="top"/>
    </xf>
    <xf numFmtId="2" fontId="3" fillId="9" borderId="8" xfId="0" applyNumberFormat="1" applyFont="1" applyFill="1" applyBorder="1" applyAlignment="1">
      <alignment vertical="top"/>
    </xf>
    <xf numFmtId="0" fontId="3" fillId="9" borderId="30" xfId="0" applyFont="1" applyFill="1" applyBorder="1" applyAlignment="1">
      <alignment vertical="top" wrapText="1"/>
    </xf>
    <xf numFmtId="0" fontId="8" fillId="0" borderId="16" xfId="0" applyFont="1" applyBorder="1" applyAlignment="1">
      <alignment vertical="center"/>
    </xf>
    <xf numFmtId="4" fontId="8" fillId="0" borderId="16" xfId="0" applyNumberFormat="1" applyFont="1" applyBorder="1" applyAlignment="1">
      <alignment horizontal="right" vertical="center" wrapText="1"/>
    </xf>
    <xf numFmtId="4" fontId="8" fillId="0" borderId="16"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2" fontId="8" fillId="0" borderId="16" xfId="0" applyNumberFormat="1" applyFont="1" applyBorder="1" applyAlignment="1">
      <alignment horizontal="center" vertical="center" wrapText="1"/>
    </xf>
    <xf numFmtId="14" fontId="3" fillId="11" borderId="16" xfId="0" applyNumberFormat="1" applyFont="1" applyFill="1" applyBorder="1" applyAlignment="1">
      <alignment horizontal="center" vertical="top" wrapText="1"/>
    </xf>
    <xf numFmtId="0" fontId="0" fillId="0" borderId="1" xfId="0" applyFill="1" applyBorder="1"/>
    <xf numFmtId="0" fontId="41" fillId="0" borderId="1" xfId="0" applyFont="1" applyFill="1" applyBorder="1" applyAlignment="1">
      <alignment wrapText="1"/>
    </xf>
    <xf numFmtId="4" fontId="0" fillId="0" borderId="0" xfId="0" applyNumberFormat="1" applyFill="1"/>
    <xf numFmtId="0" fontId="0" fillId="10" borderId="2" xfId="0" applyFill="1" applyBorder="1"/>
    <xf numFmtId="0" fontId="41" fillId="10" borderId="2" xfId="0" applyFont="1" applyFill="1" applyBorder="1" applyAlignment="1">
      <alignment wrapText="1"/>
    </xf>
    <xf numFmtId="4" fontId="0" fillId="10" borderId="2" xfId="0" applyNumberFormat="1" applyFill="1" applyBorder="1"/>
    <xf numFmtId="4" fontId="0" fillId="10" borderId="2" xfId="0" applyNumberFormat="1" applyFill="1" applyBorder="1" applyAlignment="1">
      <alignment horizontal="center"/>
    </xf>
    <xf numFmtId="0" fontId="0" fillId="10" borderId="0" xfId="0" applyFill="1" applyBorder="1" applyAlignment="1">
      <alignment wrapText="1"/>
    </xf>
    <xf numFmtId="0" fontId="41" fillId="10" borderId="0" xfId="0" applyFont="1" applyFill="1" applyBorder="1" applyAlignment="1">
      <alignment wrapText="1"/>
    </xf>
    <xf numFmtId="0" fontId="1" fillId="0" borderId="0" xfId="0" applyFont="1" applyFill="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44" fillId="0" borderId="0" xfId="0" applyFont="1" applyAlignment="1">
      <alignment horizontal="left" vertical="top" wrapText="1"/>
    </xf>
    <xf numFmtId="0" fontId="1" fillId="0" borderId="0" xfId="0" applyFont="1" applyAlignment="1">
      <alignment horizont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6" borderId="17" xfId="0" applyFont="1" applyFill="1" applyBorder="1" applyAlignment="1">
      <alignment horizontal="left" vertical="center" wrapText="1"/>
    </xf>
    <xf numFmtId="0" fontId="6" fillId="6" borderId="15" xfId="0" applyFont="1" applyFill="1" applyBorder="1" applyAlignment="1">
      <alignment horizontal="left" vertical="center" wrapText="1"/>
    </xf>
    <xf numFmtId="4" fontId="3" fillId="11" borderId="13" xfId="0" applyNumberFormat="1" applyFont="1" applyFill="1" applyBorder="1" applyAlignment="1">
      <alignment horizontal="center" vertical="center" wrapText="1"/>
    </xf>
    <xf numFmtId="4" fontId="3" fillId="11" borderId="8" xfId="0" applyNumberFormat="1"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4" fillId="10" borderId="13" xfId="0" applyFont="1" applyFill="1" applyBorder="1" applyAlignment="1">
      <alignment horizontal="left" vertical="top" wrapText="1"/>
    </xf>
    <xf numFmtId="0" fontId="4" fillId="10" borderId="8" xfId="0" applyFont="1" applyFill="1" applyBorder="1" applyAlignment="1">
      <alignment horizontal="left" vertical="top" wrapText="1"/>
    </xf>
    <xf numFmtId="4" fontId="3" fillId="10" borderId="13" xfId="0" applyNumberFormat="1" applyFont="1" applyFill="1" applyBorder="1" applyAlignment="1">
      <alignment horizontal="center" vertical="center" wrapText="1"/>
    </xf>
    <xf numFmtId="4" fontId="3" fillId="10" borderId="8" xfId="0" applyNumberFormat="1" applyFont="1" applyFill="1" applyBorder="1" applyAlignment="1">
      <alignment horizontal="center" vertical="center" wrapText="1"/>
    </xf>
    <xf numFmtId="0" fontId="3" fillId="10" borderId="13" xfId="0" applyFont="1" applyFill="1" applyBorder="1" applyAlignment="1">
      <alignment horizontal="left" vertical="center"/>
    </xf>
    <xf numFmtId="0" fontId="3" fillId="10" borderId="8" xfId="0" applyFont="1" applyFill="1" applyBorder="1" applyAlignment="1">
      <alignment horizontal="left" vertical="center"/>
    </xf>
    <xf numFmtId="0" fontId="3" fillId="11" borderId="16" xfId="0" applyFont="1" applyFill="1" applyBorder="1" applyAlignment="1">
      <alignment horizontal="center" vertical="center" wrapText="1"/>
    </xf>
    <xf numFmtId="0" fontId="3" fillId="0" borderId="0" xfId="0" applyFont="1" applyAlignment="1">
      <alignment horizontal="left" vertical="top" wrapText="1"/>
    </xf>
    <xf numFmtId="0" fontId="5" fillId="0" borderId="2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8" xfId="0" applyFont="1" applyFill="1" applyBorder="1" applyAlignment="1">
      <alignment horizontal="center" vertical="center" wrapText="1"/>
    </xf>
    <xf numFmtId="4" fontId="6" fillId="5" borderId="20" xfId="0" applyNumberFormat="1" applyFont="1" applyFill="1" applyBorder="1" applyAlignment="1">
      <alignment horizontal="center" vertical="center" wrapText="1"/>
    </xf>
    <xf numFmtId="4" fontId="6" fillId="5" borderId="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4" fontId="6" fillId="5" borderId="10" xfId="0" applyNumberFormat="1" applyFont="1" applyFill="1" applyBorder="1" applyAlignment="1">
      <alignment horizontal="center" vertical="center" wrapText="1"/>
    </xf>
    <xf numFmtId="4" fontId="6" fillId="5" borderId="11" xfId="0" applyNumberFormat="1" applyFont="1" applyFill="1" applyBorder="1" applyAlignment="1">
      <alignment horizontal="center" vertical="center" wrapText="1"/>
    </xf>
    <xf numFmtId="4" fontId="6" fillId="5" borderId="12" xfId="0" applyNumberFormat="1"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0" borderId="0" xfId="0" applyFont="1" applyBorder="1" applyAlignment="1">
      <alignment horizontal="left" vertical="top" wrapText="1"/>
    </xf>
    <xf numFmtId="0" fontId="3" fillId="7" borderId="1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11" borderId="13" xfId="0" applyFont="1" applyFill="1" applyBorder="1" applyAlignment="1">
      <alignment horizontal="left" vertical="top" wrapText="1"/>
    </xf>
    <xf numFmtId="0" fontId="3" fillId="11" borderId="8" xfId="0" applyFont="1" applyFill="1" applyBorder="1" applyAlignment="1">
      <alignment horizontal="left" vertical="top" wrapText="1"/>
    </xf>
    <xf numFmtId="0" fontId="8" fillId="7" borderId="13"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3"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8" xfId="0" applyFont="1" applyFill="1" applyBorder="1" applyAlignment="1">
      <alignment horizontal="left" vertical="center" wrapText="1"/>
    </xf>
    <xf numFmtId="4" fontId="8" fillId="7" borderId="13" xfId="0" applyNumberFormat="1" applyFont="1" applyFill="1" applyBorder="1" applyAlignment="1">
      <alignment horizontal="center" vertical="center" wrapText="1"/>
    </xf>
    <xf numFmtId="4" fontId="8" fillId="7" borderId="20" xfId="0" applyNumberFormat="1" applyFont="1" applyFill="1" applyBorder="1" applyAlignment="1">
      <alignment horizontal="center" vertical="center" wrapText="1"/>
    </xf>
    <xf numFmtId="4" fontId="8" fillId="7" borderId="8" xfId="0" applyNumberFormat="1" applyFont="1" applyFill="1" applyBorder="1" applyAlignment="1">
      <alignment horizontal="center" vertical="center" wrapText="1"/>
    </xf>
    <xf numFmtId="0" fontId="3" fillId="11" borderId="16" xfId="0" applyFont="1" applyFill="1" applyBorder="1" applyAlignment="1">
      <alignment horizontal="left" vertical="center" wrapText="1"/>
    </xf>
    <xf numFmtId="4" fontId="3" fillId="11" borderId="16" xfId="0" applyNumberFormat="1" applyFont="1" applyFill="1" applyBorder="1" applyAlignment="1">
      <alignment horizontal="center" vertical="center" wrapText="1"/>
    </xf>
    <xf numFmtId="4" fontId="3" fillId="7" borderId="13" xfId="0" applyNumberFormat="1" applyFont="1" applyFill="1" applyBorder="1" applyAlignment="1">
      <alignment horizontal="center" vertical="center" wrapText="1"/>
    </xf>
    <xf numFmtId="4" fontId="3" fillId="7" borderId="8" xfId="0" applyNumberFormat="1" applyFont="1" applyFill="1" applyBorder="1" applyAlignment="1">
      <alignment horizontal="center" vertical="center" wrapText="1"/>
    </xf>
    <xf numFmtId="0" fontId="3" fillId="7" borderId="13" xfId="0" applyFont="1" applyFill="1" applyBorder="1" applyAlignment="1">
      <alignment horizontal="left" vertical="center" wrapText="1"/>
    </xf>
    <xf numFmtId="0" fontId="3" fillId="7" borderId="20" xfId="0" applyFont="1" applyFill="1" applyBorder="1" applyAlignment="1">
      <alignment horizontal="left" vertical="center" wrapText="1"/>
    </xf>
    <xf numFmtId="0" fontId="3" fillId="7" borderId="8" xfId="0" applyFont="1" applyFill="1" applyBorder="1" applyAlignment="1">
      <alignment horizontal="left" vertical="center" wrapText="1"/>
    </xf>
    <xf numFmtId="4" fontId="3" fillId="7" borderId="20" xfId="0" applyNumberFormat="1" applyFont="1" applyFill="1" applyBorder="1" applyAlignment="1">
      <alignment horizontal="center" vertical="center" wrapText="1"/>
    </xf>
    <xf numFmtId="0" fontId="4" fillId="0" borderId="0" xfId="0" applyFont="1" applyAlignment="1">
      <alignment horizontal="left" wrapText="1"/>
    </xf>
    <xf numFmtId="2" fontId="3" fillId="7" borderId="13" xfId="0" applyNumberFormat="1" applyFont="1" applyFill="1" applyBorder="1" applyAlignment="1">
      <alignment horizontal="center" vertical="center" wrapText="1"/>
    </xf>
    <xf numFmtId="2" fontId="3" fillId="7" borderId="8" xfId="0" applyNumberFormat="1" applyFont="1" applyFill="1" applyBorder="1" applyAlignment="1">
      <alignment horizontal="center" vertical="center" wrapText="1"/>
    </xf>
    <xf numFmtId="0" fontId="3" fillId="7" borderId="13" xfId="0" applyFont="1" applyFill="1" applyBorder="1" applyAlignment="1">
      <alignment horizontal="center" vertical="top" wrapText="1"/>
    </xf>
    <xf numFmtId="0" fontId="3" fillId="7" borderId="20" xfId="0" applyFont="1" applyFill="1" applyBorder="1" applyAlignment="1">
      <alignment horizontal="center" vertical="top" wrapText="1"/>
    </xf>
    <xf numFmtId="0" fontId="3" fillId="7" borderId="8" xfId="0" applyFont="1" applyFill="1" applyBorder="1" applyAlignment="1">
      <alignment horizontal="center" vertical="top" wrapText="1"/>
    </xf>
    <xf numFmtId="0" fontId="4" fillId="11" borderId="16" xfId="0" applyFont="1" applyFill="1" applyBorder="1" applyAlignment="1">
      <alignment horizontal="center" vertical="top" wrapText="1"/>
    </xf>
    <xf numFmtId="0" fontId="3" fillId="7" borderId="16" xfId="0" applyFont="1" applyFill="1" applyBorder="1" applyAlignment="1">
      <alignment horizontal="center" vertical="center" wrapText="1"/>
    </xf>
    <xf numFmtId="0" fontId="3" fillId="7" borderId="16" xfId="0" applyFont="1" applyFill="1" applyBorder="1" applyAlignment="1">
      <alignment horizontal="left" vertical="center" wrapText="1"/>
    </xf>
    <xf numFmtId="1" fontId="3" fillId="7" borderId="13" xfId="0" applyNumberFormat="1" applyFont="1" applyFill="1" applyBorder="1" applyAlignment="1">
      <alignment horizontal="center" vertical="center" wrapText="1"/>
    </xf>
    <xf numFmtId="1" fontId="3" fillId="7" borderId="20" xfId="0" applyNumberFormat="1" applyFont="1" applyFill="1" applyBorder="1" applyAlignment="1">
      <alignment horizontal="center" vertical="center" wrapText="1"/>
    </xf>
    <xf numFmtId="1" fontId="3" fillId="7" borderId="8" xfId="0" applyNumberFormat="1" applyFont="1" applyFill="1" applyBorder="1" applyAlignment="1">
      <alignment horizontal="center" vertical="center" wrapText="1"/>
    </xf>
    <xf numFmtId="3" fontId="3" fillId="7" borderId="13" xfId="0" applyNumberFormat="1" applyFont="1" applyFill="1" applyBorder="1" applyAlignment="1">
      <alignment horizontal="center" vertical="center" wrapText="1"/>
    </xf>
    <xf numFmtId="3" fontId="3" fillId="7" borderId="8" xfId="0" applyNumberFormat="1" applyFont="1" applyFill="1" applyBorder="1" applyAlignment="1">
      <alignment horizontal="center" vertical="center" wrapText="1"/>
    </xf>
    <xf numFmtId="0" fontId="6" fillId="6" borderId="16" xfId="0" applyFont="1" applyFill="1" applyBorder="1" applyAlignment="1">
      <alignment horizontal="left" vertical="center" wrapText="1"/>
    </xf>
    <xf numFmtId="0" fontId="6" fillId="5" borderId="14"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3"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3" xfId="0" applyFont="1" applyFill="1" applyBorder="1" applyAlignment="1">
      <alignment horizontal="right" vertical="center" wrapText="1"/>
    </xf>
    <xf numFmtId="0" fontId="3" fillId="9" borderId="8" xfId="0" applyFont="1" applyFill="1" applyBorder="1" applyAlignment="1">
      <alignment horizontal="right" vertical="center" wrapText="1"/>
    </xf>
    <xf numFmtId="4" fontId="3" fillId="9" borderId="13" xfId="0" applyNumberFormat="1" applyFont="1" applyFill="1" applyBorder="1" applyAlignment="1">
      <alignment horizontal="right" vertical="center" wrapText="1"/>
    </xf>
    <xf numFmtId="4" fontId="3" fillId="9" borderId="8" xfId="0" applyNumberFormat="1" applyFont="1" applyFill="1" applyBorder="1" applyAlignment="1">
      <alignment horizontal="right" vertical="center" wrapText="1"/>
    </xf>
    <xf numFmtId="0" fontId="3" fillId="9" borderId="1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3" fillId="9" borderId="16" xfId="0" applyFont="1" applyFill="1" applyBorder="1" applyAlignment="1">
      <alignment horizontal="right" vertical="center" wrapText="1"/>
    </xf>
    <xf numFmtId="4" fontId="3" fillId="9" borderId="13" xfId="0" applyNumberFormat="1" applyFont="1" applyFill="1" applyBorder="1" applyAlignment="1">
      <alignment horizontal="left" vertical="center" wrapText="1"/>
    </xf>
    <xf numFmtId="4" fontId="3" fillId="9" borderId="8" xfId="0" applyNumberFormat="1"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6" borderId="8" xfId="0" applyFont="1" applyFill="1" applyBorder="1" applyAlignment="1">
      <alignment horizontal="left" vertical="center" wrapText="1"/>
    </xf>
    <xf numFmtId="2" fontId="3" fillId="9" borderId="13" xfId="0" applyNumberFormat="1" applyFont="1" applyFill="1" applyBorder="1" applyAlignment="1">
      <alignment horizontal="right" vertical="center" wrapText="1"/>
    </xf>
    <xf numFmtId="2" fontId="3" fillId="9" borderId="8" xfId="0" applyNumberFormat="1" applyFont="1" applyFill="1" applyBorder="1" applyAlignment="1">
      <alignment horizontal="right" vertical="center" wrapText="1"/>
    </xf>
    <xf numFmtId="0" fontId="8" fillId="6" borderId="13"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20" xfId="0" applyFont="1" applyFill="1" applyBorder="1" applyAlignment="1">
      <alignment horizontal="left" vertical="center" wrapText="1"/>
    </xf>
    <xf numFmtId="0" fontId="8" fillId="6" borderId="13" xfId="0" applyFont="1" applyFill="1" applyBorder="1" applyAlignment="1">
      <alignment horizontal="right" vertical="center" wrapText="1"/>
    </xf>
    <xf numFmtId="0" fontId="8" fillId="6" borderId="20" xfId="0" applyFont="1" applyFill="1" applyBorder="1" applyAlignment="1">
      <alignment horizontal="right" vertical="center" wrapText="1"/>
    </xf>
    <xf numFmtId="0" fontId="8" fillId="6" borderId="16" xfId="0" applyFont="1" applyFill="1" applyBorder="1" applyAlignment="1">
      <alignment horizontal="right" vertical="center" wrapText="1"/>
    </xf>
    <xf numFmtId="0" fontId="8" fillId="6" borderId="8" xfId="0" applyFont="1" applyFill="1" applyBorder="1" applyAlignment="1">
      <alignment horizontal="right" vertical="center" wrapText="1"/>
    </xf>
    <xf numFmtId="4" fontId="8" fillId="6" borderId="13" xfId="0" applyNumberFormat="1" applyFont="1" applyFill="1" applyBorder="1" applyAlignment="1">
      <alignment horizontal="right" vertical="center" wrapText="1"/>
    </xf>
    <xf numFmtId="4" fontId="8" fillId="6" borderId="20" xfId="0" applyNumberFormat="1" applyFont="1" applyFill="1" applyBorder="1" applyAlignment="1">
      <alignment horizontal="right" vertical="center" wrapText="1"/>
    </xf>
    <xf numFmtId="4" fontId="8" fillId="6" borderId="16" xfId="0" applyNumberFormat="1" applyFont="1" applyFill="1" applyBorder="1" applyAlignment="1">
      <alignment horizontal="right" vertical="center" wrapText="1"/>
    </xf>
    <xf numFmtId="4" fontId="8" fillId="6" borderId="8" xfId="0" applyNumberFormat="1" applyFont="1" applyFill="1" applyBorder="1" applyAlignment="1">
      <alignment horizontal="right" vertical="center" wrapText="1"/>
    </xf>
    <xf numFmtId="2" fontId="8" fillId="6" borderId="13" xfId="0" applyNumberFormat="1" applyFont="1" applyFill="1" applyBorder="1" applyAlignment="1">
      <alignment horizontal="right" vertical="center" wrapText="1"/>
    </xf>
    <xf numFmtId="2" fontId="8" fillId="6" borderId="8" xfId="0" applyNumberFormat="1" applyFont="1" applyFill="1" applyBorder="1" applyAlignment="1">
      <alignment horizontal="right" vertical="center" wrapText="1"/>
    </xf>
    <xf numFmtId="0" fontId="8" fillId="6" borderId="14"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3" xfId="0" applyFont="1" applyFill="1" applyBorder="1" applyAlignment="1">
      <alignment horizontal="left" vertical="center" wrapText="1"/>
    </xf>
    <xf numFmtId="2" fontId="3" fillId="11" borderId="13" xfId="0" applyNumberFormat="1" applyFont="1" applyFill="1" applyBorder="1" applyAlignment="1">
      <alignment horizontal="right" vertical="center" wrapText="1"/>
    </xf>
    <xf numFmtId="2" fontId="3" fillId="11" borderId="8" xfId="0" applyNumberFormat="1" applyFont="1" applyFill="1" applyBorder="1" applyAlignment="1">
      <alignment horizontal="right" vertical="center" wrapText="1"/>
    </xf>
    <xf numFmtId="0" fontId="3" fillId="6" borderId="16" xfId="0" applyFont="1" applyFill="1" applyBorder="1" applyAlignment="1">
      <alignment horizontal="center" vertical="center" wrapText="1"/>
    </xf>
    <xf numFmtId="0" fontId="3" fillId="6" borderId="1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16" xfId="0" applyFont="1" applyFill="1" applyBorder="1" applyAlignment="1">
      <alignment horizontal="right" vertical="center" wrapText="1"/>
    </xf>
    <xf numFmtId="0" fontId="3" fillId="6" borderId="8" xfId="0" applyFont="1" applyFill="1" applyBorder="1" applyAlignment="1">
      <alignment horizontal="right" vertical="center" wrapText="1"/>
    </xf>
    <xf numFmtId="4" fontId="3" fillId="6" borderId="16" xfId="0" applyNumberFormat="1" applyFont="1" applyFill="1" applyBorder="1" applyAlignment="1">
      <alignment horizontal="right" vertical="center" wrapText="1"/>
    </xf>
    <xf numFmtId="4" fontId="3" fillId="6" borderId="8" xfId="0" applyNumberFormat="1" applyFont="1" applyFill="1" applyBorder="1" applyAlignment="1">
      <alignment horizontal="right" vertical="center" wrapText="1"/>
    </xf>
    <xf numFmtId="0" fontId="6" fillId="4" borderId="0" xfId="0" applyFont="1" applyFill="1" applyBorder="1" applyAlignment="1">
      <alignment horizontal="left" vertical="top" wrapText="1"/>
    </xf>
    <xf numFmtId="0" fontId="6" fillId="4" borderId="28" xfId="0" applyFont="1" applyFill="1" applyBorder="1" applyAlignment="1">
      <alignment horizontal="left" vertical="top" wrapText="1"/>
    </xf>
    <xf numFmtId="0" fontId="7" fillId="6" borderId="13"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23" fillId="0" borderId="0" xfId="0" applyFont="1" applyAlignment="1">
      <alignment horizontal="left" vertical="top" wrapText="1"/>
    </xf>
    <xf numFmtId="0" fontId="3" fillId="11" borderId="13" xfId="0" applyFont="1" applyFill="1" applyBorder="1" applyAlignment="1">
      <alignment horizontal="left" vertical="center" wrapText="1"/>
    </xf>
    <xf numFmtId="0" fontId="3" fillId="11" borderId="8" xfId="0" applyFont="1" applyFill="1" applyBorder="1" applyAlignment="1">
      <alignment horizontal="left" vertical="center" wrapText="1"/>
    </xf>
    <xf numFmtId="0" fontId="4" fillId="9" borderId="16" xfId="0" applyFont="1" applyFill="1" applyBorder="1" applyAlignment="1">
      <alignment horizontal="left" vertical="top" wrapText="1"/>
    </xf>
    <xf numFmtId="0" fontId="3" fillId="6" borderId="14"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1" borderId="13"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3" xfId="0" applyFont="1" applyFill="1" applyBorder="1" applyAlignment="1">
      <alignment horizontal="right" vertical="center" wrapText="1"/>
    </xf>
    <xf numFmtId="0" fontId="3" fillId="11" borderId="8" xfId="0" applyFont="1" applyFill="1" applyBorder="1" applyAlignment="1">
      <alignment horizontal="right" vertical="center" wrapText="1"/>
    </xf>
    <xf numFmtId="4" fontId="3" fillId="11" borderId="13" xfId="0" applyNumberFormat="1" applyFont="1" applyFill="1" applyBorder="1" applyAlignment="1">
      <alignment horizontal="right" vertical="center" wrapText="1"/>
    </xf>
    <xf numFmtId="4" fontId="3" fillId="11" borderId="8" xfId="0" applyNumberFormat="1" applyFont="1" applyFill="1" applyBorder="1" applyAlignment="1">
      <alignment horizontal="right" vertical="center" wrapText="1"/>
    </xf>
    <xf numFmtId="0" fontId="3" fillId="9" borderId="0"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0" borderId="0" xfId="0" applyFont="1" applyAlignment="1">
      <alignment horizontal="center" vertical="top" wrapText="1"/>
    </xf>
    <xf numFmtId="0" fontId="23" fillId="0" borderId="2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6" fillId="6" borderId="0"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8" fillId="9" borderId="16" xfId="0" applyFont="1" applyFill="1" applyBorder="1" applyAlignment="1">
      <alignment horizontal="center" vertical="center" wrapText="1"/>
    </xf>
    <xf numFmtId="0" fontId="6" fillId="0" borderId="0" xfId="0" applyFont="1" applyAlignment="1">
      <alignment horizontal="left" vertical="top"/>
    </xf>
    <xf numFmtId="0" fontId="16" fillId="0" borderId="0" xfId="0" applyFont="1" applyBorder="1" applyAlignment="1">
      <alignment horizontal="left" vertical="top" wrapText="1"/>
    </xf>
    <xf numFmtId="0" fontId="16" fillId="0" borderId="28" xfId="0" applyFont="1" applyBorder="1" applyAlignment="1">
      <alignment horizontal="left" vertical="top" wrapText="1"/>
    </xf>
    <xf numFmtId="0" fontId="32" fillId="6" borderId="13" xfId="0" applyFont="1" applyFill="1" applyBorder="1" applyAlignment="1">
      <alignment horizontal="left" vertical="center" wrapText="1"/>
    </xf>
    <xf numFmtId="0" fontId="32" fillId="6" borderId="20" xfId="0" applyFont="1" applyFill="1" applyBorder="1" applyAlignment="1">
      <alignment horizontal="left" vertical="center" wrapText="1"/>
    </xf>
    <xf numFmtId="0" fontId="32" fillId="6" borderId="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16" fillId="0" borderId="16" xfId="0" applyFont="1" applyBorder="1" applyAlignment="1">
      <alignment horizontal="left" vertical="top" wrapText="1"/>
    </xf>
    <xf numFmtId="0" fontId="3" fillId="10" borderId="13" xfId="0" applyFont="1" applyFill="1" applyBorder="1" applyAlignment="1">
      <alignment horizontal="left" vertical="top" wrapText="1"/>
    </xf>
    <xf numFmtId="0" fontId="3" fillId="10" borderId="20" xfId="0" applyFont="1" applyFill="1" applyBorder="1" applyAlignment="1">
      <alignment horizontal="left" vertical="top" wrapText="1"/>
    </xf>
    <xf numFmtId="0" fontId="14" fillId="10" borderId="16"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14" fillId="10" borderId="16" xfId="0" applyFont="1" applyFill="1" applyBorder="1" applyAlignment="1">
      <alignment horizontal="right" vertical="center" wrapText="1"/>
    </xf>
    <xf numFmtId="0" fontId="14" fillId="10" borderId="13" xfId="0" applyFont="1" applyFill="1" applyBorder="1" applyAlignment="1">
      <alignment horizontal="right" vertical="center" wrapText="1"/>
    </xf>
    <xf numFmtId="3" fontId="14" fillId="10" borderId="16" xfId="0" applyNumberFormat="1" applyFont="1" applyFill="1" applyBorder="1" applyAlignment="1">
      <alignment horizontal="right" vertical="center" wrapText="1"/>
    </xf>
    <xf numFmtId="3" fontId="14" fillId="10" borderId="13" xfId="0" applyNumberFormat="1" applyFont="1" applyFill="1" applyBorder="1" applyAlignment="1">
      <alignment horizontal="right" vertical="center" wrapText="1"/>
    </xf>
    <xf numFmtId="0" fontId="3" fillId="10" borderId="20" xfId="0" applyFont="1" applyFill="1" applyBorder="1" applyAlignment="1">
      <alignment horizontal="center" vertical="center" wrapText="1"/>
    </xf>
    <xf numFmtId="14" fontId="3" fillId="10" borderId="13" xfId="0" applyNumberFormat="1" applyFont="1" applyFill="1" applyBorder="1" applyAlignment="1">
      <alignment horizontal="center" vertical="top" wrapText="1"/>
    </xf>
    <xf numFmtId="14" fontId="3" fillId="10" borderId="20" xfId="0" applyNumberFormat="1" applyFont="1" applyFill="1" applyBorder="1" applyAlignment="1">
      <alignment horizontal="center" vertical="top" wrapText="1"/>
    </xf>
    <xf numFmtId="0" fontId="12" fillId="10" borderId="13" xfId="0" applyFont="1" applyFill="1" applyBorder="1" applyAlignment="1">
      <alignment horizontal="center" vertical="top" wrapText="1"/>
    </xf>
    <xf numFmtId="0" fontId="12" fillId="10" borderId="20" xfId="0" applyFont="1" applyFill="1" applyBorder="1" applyAlignment="1">
      <alignment horizontal="center" vertical="top" wrapText="1"/>
    </xf>
    <xf numFmtId="164" fontId="3" fillId="10" borderId="13" xfId="3" applyFont="1" applyFill="1" applyBorder="1" applyAlignment="1">
      <alignment horizontal="center" vertical="top" wrapText="1"/>
    </xf>
    <xf numFmtId="164" fontId="3" fillId="10" borderId="20" xfId="3" applyFont="1" applyFill="1" applyBorder="1" applyAlignment="1">
      <alignment horizontal="center" vertical="top" wrapText="1"/>
    </xf>
    <xf numFmtId="164" fontId="3" fillId="10" borderId="13" xfId="3" applyFont="1" applyFill="1" applyBorder="1" applyAlignment="1">
      <alignment horizontal="right" vertical="center" wrapText="1"/>
    </xf>
    <xf numFmtId="164" fontId="3" fillId="10" borderId="8" xfId="3" applyFont="1" applyFill="1" applyBorder="1" applyAlignment="1">
      <alignment horizontal="center" vertical="top" wrapText="1"/>
    </xf>
    <xf numFmtId="164" fontId="14" fillId="10" borderId="13" xfId="3" applyFont="1" applyFill="1" applyBorder="1" applyAlignment="1">
      <alignment horizontal="right" vertical="center" wrapText="1"/>
    </xf>
    <xf numFmtId="164" fontId="14" fillId="10" borderId="8" xfId="3" applyFont="1" applyFill="1" applyBorder="1" applyAlignment="1">
      <alignment horizontal="center" vertical="top" wrapText="1"/>
    </xf>
    <xf numFmtId="0" fontId="3" fillId="10" borderId="13" xfId="0" applyFont="1" applyFill="1" applyBorder="1" applyAlignment="1">
      <alignment horizontal="right" vertical="center" wrapText="1"/>
    </xf>
    <xf numFmtId="0" fontId="3" fillId="10" borderId="8" xfId="0" applyFont="1" applyFill="1" applyBorder="1" applyAlignment="1">
      <alignment horizontal="center" vertical="top" wrapText="1"/>
    </xf>
    <xf numFmtId="0" fontId="13" fillId="0" borderId="0" xfId="0" applyFont="1" applyAlignment="1">
      <alignment horizontal="left" vertical="top"/>
    </xf>
    <xf numFmtId="0" fontId="3" fillId="10" borderId="13" xfId="0" applyFont="1" applyFill="1" applyBorder="1" applyAlignment="1">
      <alignment horizontal="center" vertical="top" wrapText="1"/>
    </xf>
    <xf numFmtId="164" fontId="14" fillId="10" borderId="13" xfId="3" applyFont="1" applyFill="1" applyBorder="1" applyAlignment="1">
      <alignment horizontal="center" vertical="top" wrapText="1"/>
    </xf>
    <xf numFmtId="0" fontId="4" fillId="10" borderId="28"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14" fillId="10" borderId="28" xfId="0" applyFont="1" applyFill="1" applyBorder="1" applyAlignment="1">
      <alignment horizontal="center" vertical="center" wrapText="1"/>
    </xf>
    <xf numFmtId="14" fontId="3" fillId="10" borderId="13" xfId="0" applyNumberFormat="1" applyFont="1" applyFill="1" applyBorder="1" applyAlignment="1">
      <alignment horizontal="right" vertical="center" wrapText="1"/>
    </xf>
    <xf numFmtId="0" fontId="3" fillId="0" borderId="0" xfId="0" applyFont="1" applyBorder="1" applyAlignment="1">
      <alignment horizontal="left" vertical="top" wrapText="1"/>
    </xf>
    <xf numFmtId="0" fontId="8" fillId="4" borderId="16" xfId="0" applyFont="1" applyFill="1" applyBorder="1" applyAlignment="1">
      <alignment horizontal="center" vertical="center" wrapText="1"/>
    </xf>
    <xf numFmtId="0" fontId="8" fillId="0" borderId="16" xfId="0" applyFont="1" applyBorder="1" applyAlignment="1">
      <alignment horizontal="center" vertical="center" wrapText="1"/>
    </xf>
    <xf numFmtId="0" fontId="4" fillId="0" borderId="0" xfId="0" applyFont="1" applyAlignment="1">
      <alignment horizontal="left" vertical="top" wrapText="1"/>
    </xf>
    <xf numFmtId="0" fontId="15" fillId="0" borderId="0" xfId="0" applyFont="1" applyAlignment="1">
      <alignment horizontal="left" vertical="top" wrapText="1"/>
    </xf>
    <xf numFmtId="0" fontId="23" fillId="0" borderId="0" xfId="0" applyFont="1" applyAlignment="1">
      <alignment horizontal="center" vertical="top" wrapText="1"/>
    </xf>
    <xf numFmtId="0" fontId="6" fillId="0" borderId="16" xfId="0" applyFont="1" applyBorder="1" applyAlignment="1">
      <alignment horizontal="left" vertical="top" wrapText="1"/>
    </xf>
    <xf numFmtId="0" fontId="12" fillId="10" borderId="13" xfId="0" applyFont="1" applyFill="1" applyBorder="1" applyAlignment="1">
      <alignment horizontal="right" vertical="center" wrapText="1"/>
    </xf>
    <xf numFmtId="0" fontId="12" fillId="10" borderId="8" xfId="0" applyFont="1" applyFill="1" applyBorder="1" applyAlignment="1">
      <alignment horizontal="right" vertical="center" wrapText="1"/>
    </xf>
    <xf numFmtId="0" fontId="4" fillId="10" borderId="13"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12" fillId="10" borderId="13" xfId="0" applyFont="1" applyFill="1" applyBorder="1" applyAlignment="1">
      <alignment horizontal="left" vertical="center"/>
    </xf>
    <xf numFmtId="0" fontId="12" fillId="10" borderId="8" xfId="0" applyFont="1" applyFill="1" applyBorder="1" applyAlignment="1">
      <alignment horizontal="left" vertical="center"/>
    </xf>
    <xf numFmtId="0" fontId="12" fillId="10" borderId="13" xfId="0" applyFont="1" applyFill="1" applyBorder="1" applyAlignment="1">
      <alignment horizontal="right" vertical="center"/>
    </xf>
    <xf numFmtId="0" fontId="12" fillId="10" borderId="8" xfId="0" applyFont="1" applyFill="1" applyBorder="1" applyAlignment="1">
      <alignment horizontal="right" vertical="center"/>
    </xf>
    <xf numFmtId="3" fontId="12" fillId="10" borderId="13" xfId="0" applyNumberFormat="1" applyFont="1" applyFill="1" applyBorder="1" applyAlignment="1">
      <alignment horizontal="right" vertical="center"/>
    </xf>
    <xf numFmtId="3" fontId="12" fillId="10" borderId="8" xfId="0" applyNumberFormat="1" applyFont="1" applyFill="1" applyBorder="1" applyAlignment="1">
      <alignment horizontal="right" vertical="center"/>
    </xf>
    <xf numFmtId="0" fontId="12" fillId="10" borderId="13"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12" fillId="0" borderId="16" xfId="0" applyFont="1" applyBorder="1" applyAlignment="1">
      <alignment horizontal="right" vertical="center"/>
    </xf>
    <xf numFmtId="0" fontId="12" fillId="0" borderId="20" xfId="0" applyFont="1" applyBorder="1" applyAlignment="1">
      <alignment horizontal="right" vertical="center"/>
    </xf>
    <xf numFmtId="0" fontId="12" fillId="0" borderId="8" xfId="0" applyFont="1" applyBorder="1" applyAlignment="1">
      <alignment horizontal="right" vertical="center"/>
    </xf>
    <xf numFmtId="3" fontId="12" fillId="0" borderId="16"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8" xfId="0" applyNumberFormat="1" applyFont="1" applyBorder="1" applyAlignment="1">
      <alignment horizontal="right" vertical="center"/>
    </xf>
    <xf numFmtId="0" fontId="12" fillId="0" borderId="16" xfId="0" applyFont="1" applyBorder="1" applyAlignment="1">
      <alignment horizontal="left" vertical="center" wrapText="1"/>
    </xf>
    <xf numFmtId="0" fontId="12" fillId="0" borderId="8" xfId="0" applyFont="1" applyBorder="1" applyAlignment="1">
      <alignment horizontal="left" vertical="center" wrapText="1"/>
    </xf>
    <xf numFmtId="0" fontId="12" fillId="0" borderId="13" xfId="0" applyFont="1" applyBorder="1" applyAlignment="1">
      <alignment horizontal="right" vertical="center"/>
    </xf>
    <xf numFmtId="3" fontId="12" fillId="0" borderId="13" xfId="0" applyNumberFormat="1" applyFont="1" applyBorder="1" applyAlignment="1">
      <alignment horizontal="right" vertical="center"/>
    </xf>
    <xf numFmtId="0" fontId="4" fillId="10" borderId="28" xfId="0" applyFont="1" applyFill="1" applyBorder="1" applyAlignment="1">
      <alignment horizontal="left" vertical="top" wrapText="1"/>
    </xf>
    <xf numFmtId="0" fontId="3" fillId="10" borderId="13" xfId="0" applyFont="1" applyFill="1" applyBorder="1" applyAlignment="1">
      <alignment horizontal="left" vertical="center" wrapText="1"/>
    </xf>
    <xf numFmtId="0" fontId="3" fillId="10" borderId="8" xfId="0" applyFont="1" applyFill="1" applyBorder="1" applyAlignment="1">
      <alignment horizontal="left" vertical="center" wrapText="1"/>
    </xf>
    <xf numFmtId="0" fontId="12" fillId="0" borderId="13" xfId="0" applyFont="1" applyBorder="1" applyAlignment="1">
      <alignment horizontal="left" vertical="center" wrapText="1"/>
    </xf>
    <xf numFmtId="0" fontId="12" fillId="0" borderId="20" xfId="0" applyFont="1" applyBorder="1" applyAlignment="1">
      <alignment horizontal="left" vertical="center"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28" xfId="0" applyFont="1" applyBorder="1" applyAlignment="1">
      <alignment horizontal="left" vertical="top" wrapText="1"/>
    </xf>
    <xf numFmtId="0" fontId="6" fillId="0" borderId="0" xfId="0" applyFont="1" applyAlignment="1">
      <alignment horizontal="left" vertical="top" wrapText="1"/>
    </xf>
    <xf numFmtId="0" fontId="16" fillId="0" borderId="2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6" fillId="6" borderId="14" xfId="0" applyFont="1" applyFill="1" applyBorder="1" applyAlignment="1">
      <alignment horizontal="left" vertical="center" wrapText="1"/>
    </xf>
    <xf numFmtId="0" fontId="8" fillId="10" borderId="13"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3" fillId="10" borderId="20" xfId="0" applyFont="1" applyFill="1" applyBorder="1" applyAlignment="1">
      <alignment horizontal="center" vertical="top" wrapText="1"/>
    </xf>
    <xf numFmtId="0" fontId="8" fillId="10" borderId="25"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3" fillId="10" borderId="20" xfId="0" applyFont="1" applyFill="1" applyBorder="1" applyAlignment="1">
      <alignment horizontal="left" vertical="center" wrapText="1"/>
    </xf>
    <xf numFmtId="0" fontId="3" fillId="0" borderId="0" xfId="0" applyFont="1" applyAlignment="1">
      <alignment horizontal="left"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5" borderId="15" xfId="0" applyFont="1" applyFill="1" applyBorder="1" applyAlignment="1">
      <alignment horizontal="center" vertical="center" wrapText="1"/>
    </xf>
    <xf numFmtId="0" fontId="5" fillId="0" borderId="7" xfId="0" applyFont="1" applyBorder="1" applyAlignment="1">
      <alignment horizontal="center" vertical="center" wrapText="1"/>
    </xf>
    <xf numFmtId="0" fontId="3" fillId="11" borderId="0" xfId="0" applyFont="1" applyFill="1" applyBorder="1" applyAlignment="1">
      <alignment horizontal="center" vertical="top" wrapText="1"/>
    </xf>
    <xf numFmtId="0" fontId="6" fillId="0" borderId="14"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9" xfId="0" applyFont="1" applyBorder="1" applyAlignment="1">
      <alignment horizontal="left" vertical="top" wrapText="1"/>
    </xf>
    <xf numFmtId="0" fontId="3" fillId="0" borderId="18" xfId="0" applyFont="1" applyBorder="1" applyAlignment="1">
      <alignment horizontal="left" vertical="top" wrapText="1"/>
    </xf>
    <xf numFmtId="0" fontId="3" fillId="0" borderId="7" xfId="0" applyFont="1" applyBorder="1" applyAlignment="1">
      <alignment horizontal="left" vertical="top" wrapText="1"/>
    </xf>
  </cellXfs>
  <cellStyles count="6">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Normal 3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V28"/>
  <sheetViews>
    <sheetView tabSelected="1" zoomScaleNormal="100" workbookViewId="0">
      <selection activeCell="R16" sqref="R16"/>
    </sheetView>
  </sheetViews>
  <sheetFormatPr defaultRowHeight="14.5" x14ac:dyDescent="0.35"/>
  <cols>
    <col min="1" max="1" width="20.7265625" customWidth="1"/>
    <col min="2" max="2" width="11.453125" customWidth="1"/>
    <col min="3" max="3" width="14.7265625" customWidth="1"/>
    <col min="4" max="4" width="13.1796875" customWidth="1"/>
    <col min="5" max="5" width="15.453125" customWidth="1"/>
    <col min="6" max="6" width="10.7265625" customWidth="1"/>
    <col min="7" max="7" width="10.54296875" customWidth="1"/>
    <col min="8" max="8" width="12" customWidth="1"/>
    <col min="9" max="9" width="11.453125" customWidth="1"/>
    <col min="10" max="10" width="12.1796875" customWidth="1"/>
    <col min="11" max="11" width="11.1796875" customWidth="1"/>
    <col min="12" max="12" width="11.7265625" customWidth="1"/>
    <col min="13" max="13" width="11.453125" customWidth="1"/>
    <col min="14" max="14" width="15.453125" hidden="1" customWidth="1"/>
    <col min="15" max="15" width="13.7265625" customWidth="1"/>
    <col min="16" max="17" width="16.453125" customWidth="1"/>
    <col min="18" max="18" width="20.26953125" customWidth="1"/>
    <col min="19" max="19" width="13.453125" customWidth="1"/>
    <col min="21" max="21" width="10" bestFit="1" customWidth="1"/>
  </cols>
  <sheetData>
    <row r="1" spans="1:22" ht="44.25" customHeight="1" x14ac:dyDescent="0.35">
      <c r="P1" s="567"/>
      <c r="Q1" s="567"/>
      <c r="R1" s="567" t="s">
        <v>980</v>
      </c>
      <c r="S1" s="567"/>
    </row>
    <row r="2" spans="1:22" ht="15" customHeight="1" x14ac:dyDescent="0.35">
      <c r="A2" s="568" t="s">
        <v>979</v>
      </c>
      <c r="B2" s="568"/>
      <c r="C2" s="568"/>
      <c r="D2" s="568"/>
      <c r="E2" s="568"/>
      <c r="F2" s="568"/>
      <c r="G2" s="568"/>
      <c r="H2" s="568"/>
      <c r="I2" s="568"/>
      <c r="J2" s="568"/>
      <c r="K2" s="568"/>
      <c r="L2" s="568"/>
      <c r="M2" s="568"/>
      <c r="N2" s="568"/>
    </row>
    <row r="3" spans="1:22" ht="21.75" customHeight="1" x14ac:dyDescent="0.35">
      <c r="A3" s="112"/>
      <c r="R3" s="564"/>
    </row>
    <row r="4" spans="1:22" ht="21.75" customHeight="1" x14ac:dyDescent="0.35">
      <c r="A4" s="573" t="s">
        <v>288</v>
      </c>
      <c r="B4" s="569" t="s">
        <v>7</v>
      </c>
      <c r="C4" s="569"/>
      <c r="D4" s="569"/>
      <c r="E4" s="570" t="s">
        <v>944</v>
      </c>
      <c r="F4" s="571"/>
      <c r="G4" s="571"/>
      <c r="H4" s="571"/>
      <c r="I4" s="571"/>
      <c r="J4" s="571"/>
      <c r="K4" s="571"/>
      <c r="L4" s="571"/>
      <c r="M4" s="571"/>
      <c r="N4" s="571"/>
      <c r="O4" s="572"/>
      <c r="P4" s="565" t="s">
        <v>424</v>
      </c>
      <c r="Q4" s="565" t="s">
        <v>1145</v>
      </c>
      <c r="R4" s="565" t="s">
        <v>1146</v>
      </c>
      <c r="S4" s="565" t="s">
        <v>961</v>
      </c>
    </row>
    <row r="5" spans="1:22" ht="64.5" customHeight="1" x14ac:dyDescent="0.35">
      <c r="A5" s="574"/>
      <c r="B5" s="6" t="s">
        <v>8</v>
      </c>
      <c r="C5" s="6" t="s">
        <v>6</v>
      </c>
      <c r="D5" s="2" t="s">
        <v>0</v>
      </c>
      <c r="E5" s="5" t="s">
        <v>18</v>
      </c>
      <c r="F5" s="7" t="s">
        <v>25</v>
      </c>
      <c r="G5" s="7" t="s">
        <v>26</v>
      </c>
      <c r="H5" s="7" t="s">
        <v>27</v>
      </c>
      <c r="I5" s="7" t="s">
        <v>28</v>
      </c>
      <c r="J5" s="7" t="s">
        <v>654</v>
      </c>
      <c r="K5" s="7" t="s">
        <v>1144</v>
      </c>
      <c r="L5" s="7" t="s">
        <v>858</v>
      </c>
      <c r="M5" s="7" t="s">
        <v>886</v>
      </c>
      <c r="N5" s="7" t="s">
        <v>921</v>
      </c>
      <c r="O5" s="113" t="s">
        <v>22</v>
      </c>
      <c r="P5" s="566"/>
      <c r="Q5" s="566"/>
      <c r="R5" s="566"/>
      <c r="S5" s="566"/>
    </row>
    <row r="6" spans="1:22" ht="9" customHeight="1" x14ac:dyDescent="0.35">
      <c r="A6" s="1"/>
      <c r="B6" s="1"/>
      <c r="C6" s="1"/>
      <c r="D6" s="1"/>
      <c r="E6" s="1"/>
      <c r="F6" s="1"/>
      <c r="G6" s="1"/>
      <c r="H6" s="1"/>
      <c r="I6" s="1"/>
      <c r="J6" s="1"/>
      <c r="K6" s="1"/>
      <c r="L6" s="1"/>
      <c r="M6" s="1"/>
      <c r="N6" s="1"/>
      <c r="O6" s="1"/>
      <c r="P6" s="1"/>
      <c r="Q6" s="1"/>
    </row>
    <row r="7" spans="1:22" x14ac:dyDescent="0.35">
      <c r="A7" s="3"/>
      <c r="B7" s="3"/>
      <c r="C7" s="3"/>
      <c r="D7" s="4">
        <f t="shared" ref="D7:S7" si="0">SUM(D8:D22)</f>
        <v>6976175</v>
      </c>
      <c r="E7" s="4">
        <f t="shared" si="0"/>
        <v>3758842</v>
      </c>
      <c r="F7" s="4">
        <f t="shared" si="0"/>
        <v>32458.239999999998</v>
      </c>
      <c r="G7" s="4">
        <f t="shared" si="0"/>
        <v>696078.35</v>
      </c>
      <c r="H7" s="4">
        <f t="shared" si="0"/>
        <v>751270.98</v>
      </c>
      <c r="I7" s="4">
        <f t="shared" si="0"/>
        <v>878709.12</v>
      </c>
      <c r="J7" s="4">
        <f t="shared" si="0"/>
        <v>1006180.82</v>
      </c>
      <c r="K7" s="4">
        <f t="shared" si="0"/>
        <v>318487.78999999998</v>
      </c>
      <c r="L7" s="4">
        <f t="shared" si="0"/>
        <v>58345.020000000004</v>
      </c>
      <c r="M7" s="4">
        <f t="shared" si="0"/>
        <v>17304.23</v>
      </c>
      <c r="N7" s="4">
        <f t="shared" si="0"/>
        <v>0</v>
      </c>
      <c r="O7" s="4">
        <f t="shared" si="0"/>
        <v>-3217333</v>
      </c>
      <c r="P7" s="4">
        <f t="shared" si="0"/>
        <v>110.10000000000036</v>
      </c>
      <c r="Q7" s="4">
        <f t="shared" si="0"/>
        <v>416276.25000000012</v>
      </c>
      <c r="R7" s="4">
        <f t="shared" si="0"/>
        <v>437998</v>
      </c>
      <c r="S7" s="4">
        <f t="shared" si="0"/>
        <v>3320844</v>
      </c>
    </row>
    <row r="8" spans="1:22" x14ac:dyDescent="0.35">
      <c r="A8" s="555" t="s">
        <v>2</v>
      </c>
      <c r="B8" s="556" t="s">
        <v>248</v>
      </c>
      <c r="C8" s="556" t="s">
        <v>247</v>
      </c>
      <c r="D8" s="40">
        <v>820397</v>
      </c>
      <c r="E8" s="40">
        <f t="shared" ref="E8:E13" si="1">ROUNDUP(SUM(F8:N8),0)</f>
        <v>362553</v>
      </c>
      <c r="F8" s="40">
        <f>'D-pils_VIII'!J18</f>
        <v>17061</v>
      </c>
      <c r="G8" s="41" t="s">
        <v>251</v>
      </c>
      <c r="H8" s="41">
        <f>'D-pils_VIII'!J9+'D-pils_VIII'!J15</f>
        <v>80815.899999999994</v>
      </c>
      <c r="I8" s="38">
        <f>'D-pils_VIII'!J10+'D-pils_VIII'!J13+'D-pils_VIII'!J14+'D-pils_VIII'!J17</f>
        <v>156604.25</v>
      </c>
      <c r="J8" s="38">
        <f>'D-pils_VIII'!J11+'D-pils_VIII'!J12</f>
        <v>69623.399999999994</v>
      </c>
      <c r="K8" s="38">
        <f>'D-pils_VIII'!J16</f>
        <v>38447.75</v>
      </c>
      <c r="L8" s="41" t="s">
        <v>251</v>
      </c>
      <c r="M8" s="41" t="s">
        <v>251</v>
      </c>
      <c r="N8" s="40"/>
      <c r="O8" s="40">
        <f t="shared" ref="O8:O15" si="2">E8-D8</f>
        <v>-457844</v>
      </c>
      <c r="P8" s="40"/>
      <c r="Q8" s="40">
        <f>'D-pils_VIII'!J20+'D-pils_VIII'!J25+'D-pils_VIII'!J29+'D-pils_VIII'!J30+'D-pils_VIII'!J31+'D-pils_VIII'!J32+'D-pils_VIII'!J33+'D-pils_VIII'!J36+'D-pils_VIII'!J37+'D-pils_VIII'!J38+'D-pils_VIII'!J40+'D-pils_VIII'!J41+'D-pils_VIII'!J42+'D-pils_VIII'!J43</f>
        <v>328446.81000000006</v>
      </c>
      <c r="R8" s="40">
        <v>17061</v>
      </c>
      <c r="S8" s="557">
        <f t="shared" ref="S8:S22" si="3">E8-R8</f>
        <v>345492</v>
      </c>
    </row>
    <row r="9" spans="1:22" x14ac:dyDescent="0.35">
      <c r="A9" s="555" t="s">
        <v>29</v>
      </c>
      <c r="B9" s="556" t="s">
        <v>38</v>
      </c>
      <c r="C9" s="556" t="s">
        <v>42</v>
      </c>
      <c r="D9" s="40">
        <v>1972320</v>
      </c>
      <c r="E9" s="40">
        <f t="shared" si="1"/>
        <v>317579</v>
      </c>
      <c r="F9" s="38">
        <f>Vidz_VIII!J20+Vidz_VIII!J21+Vidz_VIII!J53+Vidz_VIII!J54</f>
        <v>1840.8400000000001</v>
      </c>
      <c r="G9" s="40">
        <f>Vidz_VIII!J24+Vidz_VIII!J37+Vidz_VIII!J50</f>
        <v>40668.770000000004</v>
      </c>
      <c r="H9" s="40">
        <f>Vidz_VIII!J11+Vidz_VIII!J12+Vidz_VIII!J13+Vidz_VIII!J22+Vidz_VIII!J35</f>
        <v>45124.53</v>
      </c>
      <c r="I9" s="40">
        <f>Vidz_VIII!J9+Vidz_VIII!J14+Vidz_VIII!J16+Vidz_VIII!J23+Vidz_VIII!J25+Vidz_VIII!J27+Vidz_VIII!J28+Vidz_VIII!J29+Vidz_VIII!J39+Vidz_VIII!J40+Vidz_VIII!J48+Vidz_VIII!J51</f>
        <v>181558.69</v>
      </c>
      <c r="J9" s="40">
        <f>Vidz_VIII!J32+Vidz_VIII!J33+Vidz_VIII!J43</f>
        <v>35287.229999999996</v>
      </c>
      <c r="K9" s="115">
        <f>Vidz_VIII!J15+Vidz_VIII!J41+Vidz_VIII!J42+Vidz_VIII!J44</f>
        <v>8249.19</v>
      </c>
      <c r="L9" s="115">
        <f>Vidz_VIII!J45+Vidz_VIII!J52</f>
        <v>4821.7299999999996</v>
      </c>
      <c r="M9" s="115">
        <f>Vidz_VIII!J46</f>
        <v>27.23</v>
      </c>
      <c r="N9" s="40"/>
      <c r="O9" s="40">
        <f t="shared" si="2"/>
        <v>-1654741</v>
      </c>
      <c r="P9" s="40"/>
      <c r="Q9" s="40">
        <f>Vidz_VIII!J38</f>
        <v>1936</v>
      </c>
      <c r="R9" s="40">
        <f>ROUNDUP(908.56,0)</f>
        <v>909</v>
      </c>
      <c r="S9" s="557">
        <f>E9-R9</f>
        <v>316670</v>
      </c>
    </row>
    <row r="10" spans="1:22" x14ac:dyDescent="0.35">
      <c r="A10" s="555" t="s">
        <v>3</v>
      </c>
      <c r="B10" s="556" t="s">
        <v>43</v>
      </c>
      <c r="C10" s="556" t="s">
        <v>246</v>
      </c>
      <c r="D10" s="40">
        <v>1144327</v>
      </c>
      <c r="E10" s="40">
        <f t="shared" si="1"/>
        <v>459174</v>
      </c>
      <c r="F10" s="41" t="s">
        <v>251</v>
      </c>
      <c r="G10" s="40">
        <f>Jēkabp_VII!J13+Jēkabp_VII!J31+Jēkabp_VII!J48+Jēkabp_VII!J49</f>
        <v>18688.64</v>
      </c>
      <c r="H10" s="115">
        <f>Jēkabp_VII!J25+Jēkabp_VII!J26+Jēkabp_VII!J27+Jēkabp_VII!J29+Jēkabp_VII!J35+Jēkabp_VII!J38+Jēkabp_VII!J41+Jēkabp_VII!J42+Jēkabp_VII!J47+Jēkabp_VII!J57+Jēkabp_VII!J59+Jēkabp_VII!J63+Jēkabp_VII!J72</f>
        <v>112097.70999999999</v>
      </c>
      <c r="I10" s="40">
        <f>Jēkabp_VII!J19+Jēkabp_VII!J21+Jēkabp_VII!J39+Jēkabp_VII!J50+Jēkabp_VII!J51+Jēkabp_VII!J55+Jēkabp_VII!J58+Jēkabp_VII!J64+Jēkabp_VII!J66+Jēkabp_VII!J67</f>
        <v>159596.05000000002</v>
      </c>
      <c r="J10" s="40">
        <f>Jēkabp_VII!J15+Jēkabp_VII!J17+Jēkabp_VII!J36+Jēkabp_VII!J40</f>
        <v>70876.23</v>
      </c>
      <c r="K10" s="38">
        <f>Jēkabp_VII!J11+Jēkabp_VII!J16+Jēkabp_VII!J18+Jēkabp_VII!J37+Jēkabp_VII!J60+Jēkabp_VII!J61+Jēkabp_VII!J62</f>
        <v>51639.82</v>
      </c>
      <c r="L10" s="38">
        <f>Jēkabp_VII!J20+Jēkabp_VII!J22+Jēkabp_VII!J23+Jēkabp_VII!J28+Jēkabp_VII!J45+Jēkabp_VII!J54+Jēkabp_VII!J56</f>
        <v>28997.65</v>
      </c>
      <c r="M10" s="38">
        <f>Jēkabp_VII!J24+Jēkabp_VII!J34+Jēkabp_VII!J43+Jēkabp_VII!J44</f>
        <v>17277</v>
      </c>
      <c r="N10" s="40"/>
      <c r="O10" s="40">
        <f t="shared" si="2"/>
        <v>-685153</v>
      </c>
      <c r="P10" s="40"/>
      <c r="Q10" s="40"/>
      <c r="R10" s="40"/>
      <c r="S10" s="557">
        <f t="shared" si="3"/>
        <v>459174</v>
      </c>
    </row>
    <row r="11" spans="1:22" x14ac:dyDescent="0.35">
      <c r="A11" s="326" t="s">
        <v>5</v>
      </c>
      <c r="B11" s="327" t="s">
        <v>43</v>
      </c>
      <c r="C11" s="327" t="s">
        <v>196</v>
      </c>
      <c r="D11" s="328">
        <v>1232639</v>
      </c>
      <c r="E11" s="328">
        <f t="shared" si="1"/>
        <v>1215165</v>
      </c>
      <c r="F11" s="329" t="s">
        <v>19</v>
      </c>
      <c r="G11" s="329" t="s">
        <v>251</v>
      </c>
      <c r="H11" s="330">
        <f>Liep_VI!J18+Liep_VI!J23+Liep_VI!J26</f>
        <v>50937.369999999995</v>
      </c>
      <c r="I11" s="330">
        <f>Liep_VI!J9+Liep_VI!J16+Liep_VI!J17+Liep_VI!J22+Liep_VI!J25+Liep_VI!J27+Liep_VI!J28</f>
        <v>216259.66999999998</v>
      </c>
      <c r="J11" s="330">
        <f>Liep_VI!J10+Liep_VI!J11+Liep_VI!J12+Liep_VI!J21+Liep_VI!J29</f>
        <v>753631.55999999994</v>
      </c>
      <c r="K11" s="330">
        <f>Liep_VI!J13+Liep_VI!J14+Liep_VI!J15+Liep_VI!J19+Liep_VI!J20+Liep_VI!J24</f>
        <v>194335.68</v>
      </c>
      <c r="L11" s="329" t="s">
        <v>251</v>
      </c>
      <c r="M11" s="329" t="s">
        <v>251</v>
      </c>
      <c r="N11" s="328"/>
      <c r="O11" s="328">
        <f t="shared" si="2"/>
        <v>-17474</v>
      </c>
      <c r="P11" s="328"/>
      <c r="Q11" s="328"/>
      <c r="R11" s="328"/>
      <c r="S11" s="331">
        <f t="shared" si="3"/>
        <v>1215165</v>
      </c>
    </row>
    <row r="12" spans="1:22" x14ac:dyDescent="0.35">
      <c r="A12" s="555" t="s">
        <v>30</v>
      </c>
      <c r="B12" s="556" t="s">
        <v>40</v>
      </c>
      <c r="C12" s="556" t="s">
        <v>252</v>
      </c>
      <c r="D12" s="40">
        <v>222470</v>
      </c>
      <c r="E12" s="40">
        <f t="shared" si="1"/>
        <v>59510</v>
      </c>
      <c r="F12" s="38">
        <v>0</v>
      </c>
      <c r="G12" s="40">
        <f>Rēz_VII!J10</f>
        <v>9438</v>
      </c>
      <c r="H12" s="40">
        <f>Rēz_VII!J11+Rēz_VII!J12+Rēz_VII!J24</f>
        <v>25545.519999999997</v>
      </c>
      <c r="I12" s="41" t="s">
        <v>251</v>
      </c>
      <c r="J12" s="41" t="s">
        <v>251</v>
      </c>
      <c r="K12" s="41" t="s">
        <v>251</v>
      </c>
      <c r="L12" s="40">
        <f>Rēz_VII!J16+Rēz_VII!J17+Rēz_VII!J23</f>
        <v>24525.640000000003</v>
      </c>
      <c r="M12" s="41" t="s">
        <v>251</v>
      </c>
      <c r="N12" s="40"/>
      <c r="O12" s="40">
        <f t="shared" si="2"/>
        <v>-162960</v>
      </c>
      <c r="P12" s="40"/>
      <c r="Q12" s="40"/>
      <c r="R12" s="40"/>
      <c r="S12" s="557">
        <f t="shared" si="3"/>
        <v>59510</v>
      </c>
    </row>
    <row r="13" spans="1:22" x14ac:dyDescent="0.35">
      <c r="A13" s="326" t="s">
        <v>31</v>
      </c>
      <c r="B13" s="327" t="s">
        <v>97</v>
      </c>
      <c r="C13" s="327" t="s">
        <v>142</v>
      </c>
      <c r="D13" s="328">
        <v>198375</v>
      </c>
      <c r="E13" s="328">
        <f t="shared" si="1"/>
        <v>192083</v>
      </c>
      <c r="F13" s="330">
        <v>0</v>
      </c>
      <c r="G13" s="328">
        <f>Ziemeļk_IV!J12+Ziemeļk_IV!J13+Ziemeļk_IV!J14+Ziemeļk_IV!J15+Ziemeļk_IV!J17+Ziemeļk_IV!J18+Ziemeļk_IV!J19+Ziemeļk_IV!J24+Ziemeļk_IV!J25+Ziemeļk_IV!J26+Ziemeļk_IV!J29</f>
        <v>64243.38</v>
      </c>
      <c r="H13" s="328">
        <f>Ziemeļk_IV!J9+Ziemeļk_IV!J10+Ziemeļk_IV!J11+Ziemeļk_IV!J16+Ziemeļk_IV!J21+Ziemeļk_IV!J22+Ziemeļk_IV!J23+Ziemeļk_IV!J27+Ziemeļk_IV!J28+Ziemeļk_IV!J30</f>
        <v>122548.80999999997</v>
      </c>
      <c r="I13" s="328">
        <f>Ziemeļk_IV!J32</f>
        <v>5290.24</v>
      </c>
      <c r="J13" s="329" t="s">
        <v>251</v>
      </c>
      <c r="K13" s="329" t="s">
        <v>251</v>
      </c>
      <c r="L13" s="329" t="s">
        <v>251</v>
      </c>
      <c r="M13" s="329" t="s">
        <v>251</v>
      </c>
      <c r="N13" s="329" t="s">
        <v>251</v>
      </c>
      <c r="O13" s="328">
        <f t="shared" si="2"/>
        <v>-6292</v>
      </c>
      <c r="P13" s="328"/>
      <c r="Q13" s="328"/>
      <c r="R13" s="328">
        <f>ROUND(64243.38,0)</f>
        <v>64243</v>
      </c>
      <c r="S13" s="331">
        <f t="shared" si="3"/>
        <v>127840</v>
      </c>
    </row>
    <row r="14" spans="1:22" ht="32.25" customHeight="1" x14ac:dyDescent="0.35">
      <c r="A14" s="326" t="s">
        <v>4</v>
      </c>
      <c r="B14" s="327" t="s">
        <v>40</v>
      </c>
      <c r="C14" s="327" t="s">
        <v>245</v>
      </c>
      <c r="D14" s="328">
        <v>252329</v>
      </c>
      <c r="E14" s="328">
        <f t="shared" ref="E14" si="4">SUM(F14:N14)</f>
        <v>221135</v>
      </c>
      <c r="F14" s="328">
        <v>0</v>
      </c>
      <c r="G14" s="328">
        <f>Jelg_V!J9+Jelg_V!J13+Jelg_V!J21</f>
        <v>4000.5000000000005</v>
      </c>
      <c r="H14" s="328">
        <f>Jelg_V!J14+Jelg_V!J17+Jelg_V!J18+Jelg_V!J19+Jelg_V!J20+Jelg_V!J22</f>
        <v>90181.3</v>
      </c>
      <c r="I14" s="328">
        <f>Jelg_V!J11+Jelg_V!J16</f>
        <v>66465.3</v>
      </c>
      <c r="J14" s="328">
        <f>Jelg_V!J12</f>
        <v>60487.9</v>
      </c>
      <c r="K14" s="329" t="s">
        <v>251</v>
      </c>
      <c r="L14" s="329" t="s">
        <v>251</v>
      </c>
      <c r="M14" s="329" t="s">
        <v>251</v>
      </c>
      <c r="N14" s="329" t="s">
        <v>251</v>
      </c>
      <c r="O14" s="328">
        <f t="shared" si="2"/>
        <v>-31194</v>
      </c>
      <c r="P14" s="328"/>
      <c r="Q14" s="328">
        <f>Jelg_V!J10</f>
        <v>6158.9</v>
      </c>
      <c r="R14" s="328"/>
      <c r="S14" s="331">
        <f t="shared" si="3"/>
        <v>221135</v>
      </c>
    </row>
    <row r="15" spans="1:22" s="124" customFormat="1" x14ac:dyDescent="0.35">
      <c r="A15" s="499" t="s">
        <v>32</v>
      </c>
      <c r="B15" s="500" t="s">
        <v>40</v>
      </c>
      <c r="C15" s="500" t="s">
        <v>197</v>
      </c>
      <c r="D15" s="370">
        <v>107776</v>
      </c>
      <c r="E15" s="370">
        <f>ROUNDUP(SUM(F15:N15),0)</f>
        <v>47841</v>
      </c>
      <c r="F15" s="370">
        <f>Bauska_II!J13+Bauska_II!J20+Bauska_II!J24</f>
        <v>10675.2</v>
      </c>
      <c r="G15" s="370">
        <f>Bauska_II!J9+Bauska_II!J10+Bauska_II!J11+Bauska_II!J12</f>
        <v>32749</v>
      </c>
      <c r="H15" s="501">
        <f>Bauska_II!J19</f>
        <v>4416.5</v>
      </c>
      <c r="I15" s="501" t="s">
        <v>251</v>
      </c>
      <c r="J15" s="501" t="s">
        <v>251</v>
      </c>
      <c r="K15" s="501" t="s">
        <v>251</v>
      </c>
      <c r="L15" s="501" t="s">
        <v>251</v>
      </c>
      <c r="M15" s="501" t="s">
        <v>251</v>
      </c>
      <c r="N15" s="501" t="s">
        <v>251</v>
      </c>
      <c r="O15" s="370">
        <f t="shared" si="2"/>
        <v>-59935</v>
      </c>
      <c r="P15" s="370"/>
      <c r="Q15" s="370">
        <f>Bauska_II!J14+Bauska_II!J16+Bauska_II!J17+Bauska_II!J18+Bauska_II!J21+Bauska_II!J22+Bauska_II!J23</f>
        <v>58929.540000000008</v>
      </c>
      <c r="R15" s="370">
        <f>ROUND(10479.48,0)</f>
        <v>10479</v>
      </c>
      <c r="S15" s="502">
        <f t="shared" si="3"/>
        <v>37362</v>
      </c>
      <c r="U15" s="178"/>
      <c r="V15" s="178"/>
    </row>
    <row r="16" spans="1:22" s="188" customFormat="1" x14ac:dyDescent="0.35">
      <c r="A16" s="499" t="s">
        <v>33</v>
      </c>
      <c r="B16" s="500" t="s">
        <v>248</v>
      </c>
      <c r="C16" s="500" t="s">
        <v>249</v>
      </c>
      <c r="D16" s="370">
        <v>61860</v>
      </c>
      <c r="E16" s="370">
        <f>ROUNDUP(SUM(F16:N16),0)</f>
        <v>59198</v>
      </c>
      <c r="F16" s="501">
        <f>Aizkr_IV!J15+Aizkr_IV!J18+Aizkr_IV!J32</f>
        <v>1527.85</v>
      </c>
      <c r="G16" s="501">
        <f>Aizkr_IV!J10+Aizkr_IV!J11+Aizkr_IV!J12+Aizkr_IV!J23+Aizkr_IV!J27+Aizkr_IV!J28+Aizkr_IV!J31+Aizkr_IV!J34+Aizkr_IV!J36</f>
        <v>31959.559999999994</v>
      </c>
      <c r="H16" s="504">
        <f>Aizkr_IV!J9++Aizkr_IV!J20+Aizkr_IV!J24+Aizkr_IV!J29+Aizkr_IV!J33+Aizkr_IV!J35</f>
        <v>4842.0600000000004</v>
      </c>
      <c r="I16" s="504">
        <f>Aizkr_IV!J16+Aizkr_IV!J19</f>
        <v>20462.39</v>
      </c>
      <c r="J16" s="501" t="s">
        <v>251</v>
      </c>
      <c r="K16" s="501">
        <f>Aizkr_IV!J14</f>
        <v>405.35</v>
      </c>
      <c r="L16" s="501"/>
      <c r="M16" s="501" t="s">
        <v>251</v>
      </c>
      <c r="N16" s="501" t="s">
        <v>251</v>
      </c>
      <c r="O16" s="370">
        <f t="shared" ref="O16:O20" si="5">E16-D16</f>
        <v>-2662</v>
      </c>
      <c r="P16" s="370"/>
      <c r="Q16" s="370">
        <f>Aizkr_IV!J21+Aizkr_IV!J22+Aizkr_IV!J25+Aizkr_IV!J26+Aizkr_IV!J30</f>
        <v>1780.56</v>
      </c>
      <c r="R16" s="370"/>
      <c r="S16" s="502">
        <f t="shared" si="3"/>
        <v>59198</v>
      </c>
    </row>
    <row r="17" spans="1:19" x14ac:dyDescent="0.35">
      <c r="A17" s="326" t="s">
        <v>34</v>
      </c>
      <c r="B17" s="327" t="s">
        <v>97</v>
      </c>
      <c r="C17" s="327" t="s">
        <v>250</v>
      </c>
      <c r="D17" s="328">
        <v>207750</v>
      </c>
      <c r="E17" s="328">
        <f>ROUNDUP(SUM(F17:N17),0)</f>
        <v>160217</v>
      </c>
      <c r="F17" s="329" t="s">
        <v>251</v>
      </c>
      <c r="G17" s="329" t="s">
        <v>251</v>
      </c>
      <c r="H17" s="328">
        <f>Ludz_V!J9</f>
        <v>74859.070000000007</v>
      </c>
      <c r="I17" s="328">
        <f>Ludz_V!J12+Ludz_V!J13+Ludz_V!J14+Ludz_V!J16+Ludz_V!J17</f>
        <v>43672.53</v>
      </c>
      <c r="J17" s="328">
        <f>Ludz_V!J10+Ludz_V!J11+Ludz_V!J18</f>
        <v>16274.5</v>
      </c>
      <c r="K17" s="329">
        <f>Ludz_V!J15</f>
        <v>25410</v>
      </c>
      <c r="L17" s="329" t="s">
        <v>251</v>
      </c>
      <c r="M17" s="329" t="s">
        <v>251</v>
      </c>
      <c r="N17" s="329" t="s">
        <v>251</v>
      </c>
      <c r="O17" s="328">
        <f t="shared" si="5"/>
        <v>-47533</v>
      </c>
      <c r="P17" s="328"/>
      <c r="Q17" s="328"/>
      <c r="R17" s="328"/>
      <c r="S17" s="331">
        <f t="shared" si="3"/>
        <v>160217</v>
      </c>
    </row>
    <row r="18" spans="1:19" x14ac:dyDescent="0.35">
      <c r="A18" s="326" t="s">
        <v>35</v>
      </c>
      <c r="B18" s="327" t="s">
        <v>38</v>
      </c>
      <c r="C18" s="327" t="s">
        <v>39</v>
      </c>
      <c r="D18" s="328">
        <v>389130</v>
      </c>
      <c r="E18" s="328">
        <f>ROUNDUP(SUM(F18:N18),0)</f>
        <v>315819</v>
      </c>
      <c r="F18" s="328">
        <f>'R.1.sl_IV'!L9+'R.1.sl_IV'!L10+'R.1.sl_IV'!L13+'R.1.sl_IV'!L15+'R.1.sl_IV'!L16</f>
        <v>1353.35</v>
      </c>
      <c r="G18" s="370">
        <f>'R.1.sl_IV'!L14+'R.1.sl_IV'!L19+'R.1.sl_IV'!L20+'R.1.sl_IV'!L24+'R.1.sl_IV'!L25+'R.1.sl_IV'!L28+'R.1.sl_IV'!L29+'R.1.sl_IV'!L30+'R.1.sl_IV'!L31+'R.1.sl_IV'!L33+'R.1.sl_IV'!L35+'R.1.sl_IV'!L36+'R.1.sl_IV'!L37+'R.1.sl_IV'!L38</f>
        <v>150263.11999999997</v>
      </c>
      <c r="H18" s="370">
        <f>'R.1.sl_IV'!L18+'R.1.sl_IV'!L21+'R.1.sl_IV'!L22+'R.1.sl_IV'!L27+'R.1.sl_IV'!L32+'R.1.sl_IV'!L34+'R.1.sl_IV'!L39+'R.1.sl_IV'!L41</f>
        <v>139902.21</v>
      </c>
      <c r="I18" s="370">
        <f>'R.1.sl_IV'!L23+'R.1.sl_IV'!L26</f>
        <v>24300</v>
      </c>
      <c r="J18" s="370">
        <v>0</v>
      </c>
      <c r="K18" s="329" t="s">
        <v>251</v>
      </c>
      <c r="L18" s="329" t="s">
        <v>251</v>
      </c>
      <c r="M18" s="329" t="s">
        <v>251</v>
      </c>
      <c r="N18" s="328"/>
      <c r="O18" s="328">
        <f t="shared" si="5"/>
        <v>-73311</v>
      </c>
      <c r="P18" s="328"/>
      <c r="Q18" s="328">
        <f>'R.1.sl_IV'!L11+'R.1.sl_IV'!L12</f>
        <v>788.14</v>
      </c>
      <c r="R18" s="328">
        <f>ROUNDUP(1237.83,0)</f>
        <v>1238</v>
      </c>
      <c r="S18" s="331">
        <f t="shared" si="3"/>
        <v>314581</v>
      </c>
    </row>
    <row r="19" spans="1:19" x14ac:dyDescent="0.35">
      <c r="A19" s="326" t="s">
        <v>1</v>
      </c>
      <c r="B19" s="327" t="s">
        <v>43</v>
      </c>
      <c r="C19" s="327" t="s">
        <v>44</v>
      </c>
      <c r="D19" s="328">
        <v>18233</v>
      </c>
      <c r="E19" s="328">
        <f t="shared" ref="E19:E22" si="6">SUM(F19:N19)</f>
        <v>0</v>
      </c>
      <c r="F19" s="329" t="s">
        <v>251</v>
      </c>
      <c r="G19" s="329" t="s">
        <v>251</v>
      </c>
      <c r="H19" s="329" t="s">
        <v>251</v>
      </c>
      <c r="I19" s="329" t="s">
        <v>251</v>
      </c>
      <c r="J19" s="329" t="s">
        <v>251</v>
      </c>
      <c r="K19" s="329" t="s">
        <v>251</v>
      </c>
      <c r="L19" s="329" t="s">
        <v>251</v>
      </c>
      <c r="M19" s="329" t="s">
        <v>251</v>
      </c>
      <c r="N19" s="329" t="s">
        <v>251</v>
      </c>
      <c r="O19" s="328">
        <f>E19-D19</f>
        <v>-18233</v>
      </c>
      <c r="P19" s="328"/>
      <c r="Q19" s="328">
        <f>Balvi!I9+Balvi!I10+Balvi!I11+Balvi!I12+Balvi!I13+Balvi!I14+Balvi!I15+Balvi!I16+Balvi!I17</f>
        <v>18236.3</v>
      </c>
      <c r="R19" s="328"/>
      <c r="S19" s="331">
        <f t="shared" si="3"/>
        <v>0</v>
      </c>
    </row>
    <row r="20" spans="1:19" x14ac:dyDescent="0.35">
      <c r="A20" s="326" t="s">
        <v>36</v>
      </c>
      <c r="B20" s="327" t="s">
        <v>40</v>
      </c>
      <c r="C20" s="327" t="s">
        <v>41</v>
      </c>
      <c r="D20" s="328">
        <v>4500</v>
      </c>
      <c r="E20" s="328">
        <f t="shared" si="6"/>
        <v>4500</v>
      </c>
      <c r="F20" s="328">
        <v>0</v>
      </c>
      <c r="G20" s="328">
        <v>0</v>
      </c>
      <c r="H20" s="328">
        <v>0</v>
      </c>
      <c r="I20" s="328">
        <f>4610.1-110.1</f>
        <v>4500</v>
      </c>
      <c r="J20" s="329" t="s">
        <v>251</v>
      </c>
      <c r="K20" s="329" t="s">
        <v>251</v>
      </c>
      <c r="L20" s="329" t="s">
        <v>251</v>
      </c>
      <c r="M20" s="329" t="s">
        <v>251</v>
      </c>
      <c r="N20" s="329" t="s">
        <v>251</v>
      </c>
      <c r="O20" s="328">
        <f t="shared" si="5"/>
        <v>0</v>
      </c>
      <c r="P20" s="328">
        <f>Alūksn_IV!J9-Alūksn_IV!F9</f>
        <v>110.10000000000036</v>
      </c>
      <c r="Q20" s="328"/>
      <c r="R20" s="328"/>
      <c r="S20" s="331">
        <f t="shared" si="3"/>
        <v>4500</v>
      </c>
    </row>
    <row r="21" spans="1:19" x14ac:dyDescent="0.35">
      <c r="A21" s="558" t="s">
        <v>37</v>
      </c>
      <c r="B21" s="559" t="s">
        <v>40</v>
      </c>
      <c r="C21" s="559" t="s">
        <v>253</v>
      </c>
      <c r="D21" s="560">
        <v>3000</v>
      </c>
      <c r="E21" s="560">
        <f>ROUNDUP(SUM(F21:N21),0)</f>
        <v>2999</v>
      </c>
      <c r="F21" s="561" t="s">
        <v>251</v>
      </c>
      <c r="G21" s="561">
        <f>Kuldīga!H9</f>
        <v>2998.38</v>
      </c>
      <c r="H21" s="561" t="s">
        <v>251</v>
      </c>
      <c r="I21" s="561" t="s">
        <v>251</v>
      </c>
      <c r="J21" s="561" t="s">
        <v>251</v>
      </c>
      <c r="K21" s="561" t="s">
        <v>251</v>
      </c>
      <c r="L21" s="561" t="s">
        <v>251</v>
      </c>
      <c r="M21" s="561" t="s">
        <v>251</v>
      </c>
      <c r="N21" s="561" t="s">
        <v>251</v>
      </c>
      <c r="O21" s="560">
        <f>E21-D21</f>
        <v>-1</v>
      </c>
      <c r="P21" s="560"/>
      <c r="Q21" s="560"/>
      <c r="R21" s="560">
        <f>ROUNDUP(2998.38,0)</f>
        <v>2999</v>
      </c>
      <c r="S21" s="331">
        <f t="shared" si="3"/>
        <v>0</v>
      </c>
    </row>
    <row r="22" spans="1:19" ht="29" x14ac:dyDescent="0.35">
      <c r="A22" s="562" t="s">
        <v>1046</v>
      </c>
      <c r="B22" s="563"/>
      <c r="C22" s="558"/>
      <c r="D22" s="560">
        <v>341069</v>
      </c>
      <c r="E22" s="560">
        <f t="shared" si="6"/>
        <v>341069</v>
      </c>
      <c r="F22" s="560"/>
      <c r="G22" s="560">
        <v>341069</v>
      </c>
      <c r="H22" s="561"/>
      <c r="I22" s="561"/>
      <c r="J22" s="561"/>
      <c r="K22" s="561"/>
      <c r="L22" s="561"/>
      <c r="M22" s="561"/>
      <c r="N22" s="561"/>
      <c r="O22" s="560">
        <f>E22-D22</f>
        <v>0</v>
      </c>
      <c r="P22" s="561"/>
      <c r="Q22" s="560"/>
      <c r="R22" s="560">
        <v>341069</v>
      </c>
      <c r="S22" s="331">
        <f t="shared" si="3"/>
        <v>0</v>
      </c>
    </row>
    <row r="23" spans="1:19" x14ac:dyDescent="0.35">
      <c r="A23" s="432"/>
      <c r="B23" s="429"/>
      <c r="C23" s="429"/>
      <c r="D23" s="430"/>
      <c r="E23" s="430"/>
      <c r="F23" s="431"/>
      <c r="G23" s="431"/>
      <c r="H23" s="431"/>
      <c r="I23" s="431"/>
      <c r="J23" s="431"/>
      <c r="K23" s="431"/>
      <c r="L23" s="431"/>
      <c r="M23" s="431"/>
      <c r="N23" s="431"/>
      <c r="O23" s="433"/>
      <c r="P23" s="433"/>
      <c r="Q23" s="433"/>
      <c r="R23" s="430"/>
      <c r="S23" s="120"/>
    </row>
    <row r="24" spans="1:19" x14ac:dyDescent="0.35">
      <c r="A24" t="s">
        <v>884</v>
      </c>
    </row>
    <row r="26" spans="1:19" x14ac:dyDescent="0.35">
      <c r="E26" s="120"/>
      <c r="P26" s="120"/>
    </row>
    <row r="27" spans="1:19" x14ac:dyDescent="0.35">
      <c r="E27" s="120"/>
      <c r="J27" s="120"/>
      <c r="K27" s="120"/>
    </row>
    <row r="28" spans="1:19" x14ac:dyDescent="0.35">
      <c r="E28" s="120"/>
    </row>
  </sheetData>
  <mergeCells count="10">
    <mergeCell ref="A2:N2"/>
    <mergeCell ref="B4:D4"/>
    <mergeCell ref="P4:P5"/>
    <mergeCell ref="E4:O4"/>
    <mergeCell ref="A4:A5"/>
    <mergeCell ref="S4:S5"/>
    <mergeCell ref="Q4:Q5"/>
    <mergeCell ref="R4:R5"/>
    <mergeCell ref="P1:Q1"/>
    <mergeCell ref="R1:S1"/>
  </mergeCells>
  <pageMargins left="0.70866141732283472" right="0.70866141732283472" top="0.74803149606299213" bottom="0.74803149606299213" header="0.31496062992125984" footer="0.31496062992125984"/>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63DC-0A9F-4F17-BD3A-82530E5BA67F}">
  <sheetPr>
    <tabColor rgb="FF00B0F0"/>
  </sheetPr>
  <dimension ref="A1:N39"/>
  <sheetViews>
    <sheetView view="pageBreakPreview" zoomScale="60" zoomScaleNormal="90" workbookViewId="0">
      <selection activeCell="T11" sqref="T11"/>
    </sheetView>
  </sheetViews>
  <sheetFormatPr defaultColWidth="9.1796875" defaultRowHeight="14" x14ac:dyDescent="0.35"/>
  <cols>
    <col min="1" max="1" width="15.1796875" style="11" customWidth="1"/>
    <col min="2" max="2" width="19.26953125" style="11" customWidth="1"/>
    <col min="3" max="3" width="26" style="11" customWidth="1"/>
    <col min="4" max="4" width="20.26953125" style="11" customWidth="1"/>
    <col min="5" max="5" width="14.26953125" style="11" customWidth="1"/>
    <col min="6" max="6" width="16.81640625" style="11" customWidth="1"/>
    <col min="7" max="7" width="16.54296875" style="11" customWidth="1"/>
    <col min="8" max="8" width="14.1796875" style="11" customWidth="1"/>
    <col min="9" max="9" width="21" style="11" customWidth="1"/>
    <col min="10" max="11" width="14.26953125" style="11" customWidth="1"/>
    <col min="12" max="12" width="14.54296875" style="11" customWidth="1"/>
    <col min="13" max="13" width="14.1796875" style="11" customWidth="1"/>
    <col min="14" max="14" width="32.81640625" style="11" customWidth="1"/>
    <col min="15" max="17" width="10" style="11" bestFit="1" customWidth="1"/>
    <col min="18" max="16384" width="9.1796875" style="11"/>
  </cols>
  <sheetData>
    <row r="1" spans="1:14" ht="15.5" x14ac:dyDescent="0.35">
      <c r="B1" s="8"/>
      <c r="C1" s="8"/>
      <c r="D1" s="8"/>
      <c r="E1" s="8"/>
      <c r="F1" s="8"/>
      <c r="G1" s="8"/>
      <c r="H1" s="8"/>
      <c r="I1" s="147"/>
      <c r="J1" s="147"/>
      <c r="K1" s="147"/>
      <c r="L1" s="147"/>
      <c r="M1" s="147"/>
      <c r="N1" s="177"/>
    </row>
    <row r="2" spans="1:14" ht="23.25" customHeight="1" x14ac:dyDescent="0.35">
      <c r="A2" s="761" t="s">
        <v>567</v>
      </c>
      <c r="B2" s="761"/>
      <c r="C2" s="8"/>
      <c r="D2" s="8"/>
      <c r="E2" s="8"/>
      <c r="F2" s="8"/>
      <c r="G2" s="8"/>
      <c r="H2" s="8"/>
      <c r="I2" s="147"/>
      <c r="J2" s="147"/>
      <c r="K2" s="147"/>
      <c r="L2" s="147"/>
      <c r="M2" s="147"/>
      <c r="N2" s="177"/>
    </row>
    <row r="3" spans="1:14" ht="15.5" x14ac:dyDescent="0.35">
      <c r="B3" s="8"/>
      <c r="C3" s="8"/>
      <c r="D3" s="8"/>
      <c r="E3" s="8"/>
      <c r="F3" s="8"/>
      <c r="G3" s="8"/>
      <c r="H3" s="8"/>
      <c r="I3" s="147"/>
      <c r="J3" s="147"/>
      <c r="K3" s="147"/>
      <c r="L3" s="147"/>
      <c r="M3" s="147"/>
      <c r="N3" s="177"/>
    </row>
    <row r="4" spans="1:14" ht="17.5" x14ac:dyDescent="0.35">
      <c r="B4" s="589" t="s">
        <v>956</v>
      </c>
      <c r="C4" s="589"/>
      <c r="D4" s="589"/>
      <c r="E4" s="589"/>
      <c r="F4" s="590"/>
      <c r="G4" s="591"/>
      <c r="H4" s="591"/>
      <c r="I4" s="591"/>
      <c r="J4" s="591"/>
      <c r="K4" s="591"/>
      <c r="L4" s="591"/>
      <c r="M4" s="591"/>
      <c r="N4" s="592"/>
    </row>
    <row r="5" spans="1:14" ht="15" x14ac:dyDescent="0.35">
      <c r="A5" s="600" t="s">
        <v>48</v>
      </c>
      <c r="B5" s="600"/>
      <c r="C5" s="600"/>
      <c r="D5" s="600"/>
      <c r="E5" s="600"/>
      <c r="F5" s="600"/>
      <c r="G5" s="593" t="s">
        <v>9</v>
      </c>
      <c r="H5" s="594"/>
      <c r="I5" s="594"/>
      <c r="J5" s="594"/>
      <c r="K5" s="594"/>
      <c r="L5" s="594"/>
      <c r="M5" s="594"/>
      <c r="N5" s="595"/>
    </row>
    <row r="6" spans="1:14" ht="15.75" customHeight="1" x14ac:dyDescent="0.35">
      <c r="A6" s="596" t="s">
        <v>950</v>
      </c>
      <c r="B6" s="596" t="s">
        <v>10</v>
      </c>
      <c r="C6" s="596" t="s">
        <v>46</v>
      </c>
      <c r="D6" s="596" t="s">
        <v>951</v>
      </c>
      <c r="E6" s="596" t="s">
        <v>11</v>
      </c>
      <c r="F6" s="596" t="s">
        <v>12</v>
      </c>
      <c r="G6" s="593" t="s">
        <v>946</v>
      </c>
      <c r="H6" s="594"/>
      <c r="I6" s="594"/>
      <c r="J6" s="595"/>
      <c r="K6" s="593" t="s">
        <v>948</v>
      </c>
      <c r="L6" s="594"/>
      <c r="M6" s="595"/>
      <c r="N6" s="604" t="s">
        <v>947</v>
      </c>
    </row>
    <row r="7" spans="1:14" ht="30" x14ac:dyDescent="0.35">
      <c r="A7" s="597"/>
      <c r="B7" s="597"/>
      <c r="C7" s="597"/>
      <c r="D7" s="597"/>
      <c r="E7" s="597"/>
      <c r="F7" s="597"/>
      <c r="G7" s="12" t="s">
        <v>14</v>
      </c>
      <c r="H7" s="12" t="s">
        <v>15</v>
      </c>
      <c r="I7" s="12" t="s">
        <v>16</v>
      </c>
      <c r="J7" s="12" t="s">
        <v>17</v>
      </c>
      <c r="K7" s="12" t="s">
        <v>952</v>
      </c>
      <c r="L7" s="12" t="s">
        <v>953</v>
      </c>
      <c r="M7" s="12" t="s">
        <v>954</v>
      </c>
      <c r="N7" s="597"/>
    </row>
    <row r="8" spans="1:14" ht="15" x14ac:dyDescent="0.35">
      <c r="A8" s="715" t="s">
        <v>18</v>
      </c>
      <c r="B8" s="716"/>
      <c r="C8" s="14"/>
      <c r="D8" s="14"/>
      <c r="E8" s="14"/>
      <c r="F8" s="42">
        <f>SUM(F9:F36)</f>
        <v>61860</v>
      </c>
      <c r="G8" s="14"/>
      <c r="H8" s="14"/>
      <c r="I8" s="14"/>
      <c r="J8" s="42">
        <f>SUM(J9:J36)</f>
        <v>60977.77</v>
      </c>
      <c r="K8" s="14"/>
      <c r="L8" s="42">
        <f>SUM(L9:L36)</f>
        <v>60977.77</v>
      </c>
      <c r="M8" s="14"/>
      <c r="N8" s="14"/>
    </row>
    <row r="9" spans="1:14" ht="42" x14ac:dyDescent="0.35">
      <c r="A9" s="105" t="s">
        <v>133</v>
      </c>
      <c r="B9" s="290" t="s">
        <v>568</v>
      </c>
      <c r="C9" s="105" t="s">
        <v>150</v>
      </c>
      <c r="D9" s="213" t="s">
        <v>981</v>
      </c>
      <c r="E9" s="291">
        <v>2</v>
      </c>
      <c r="F9" s="277">
        <v>2000</v>
      </c>
      <c r="G9" s="105" t="s">
        <v>621</v>
      </c>
      <c r="H9" s="105" t="s">
        <v>505</v>
      </c>
      <c r="I9" s="105" t="s">
        <v>622</v>
      </c>
      <c r="J9" s="105">
        <v>1863.4</v>
      </c>
      <c r="K9" s="105" t="s">
        <v>623</v>
      </c>
      <c r="L9" s="104">
        <v>1863.4</v>
      </c>
      <c r="M9" s="105"/>
      <c r="N9" s="273" t="s">
        <v>624</v>
      </c>
    </row>
    <row r="10" spans="1:14" ht="70" x14ac:dyDescent="0.35">
      <c r="A10" s="212" t="s">
        <v>1113</v>
      </c>
      <c r="B10" s="119"/>
      <c r="C10" s="105" t="s">
        <v>569</v>
      </c>
      <c r="D10" s="213" t="s">
        <v>981</v>
      </c>
      <c r="E10" s="291">
        <v>2</v>
      </c>
      <c r="F10" s="277">
        <v>4000</v>
      </c>
      <c r="G10" s="105" t="s">
        <v>625</v>
      </c>
      <c r="H10" s="105" t="s">
        <v>626</v>
      </c>
      <c r="I10" s="105" t="s">
        <v>584</v>
      </c>
      <c r="J10" s="105">
        <v>3146</v>
      </c>
      <c r="K10" s="105" t="s">
        <v>627</v>
      </c>
      <c r="L10" s="104">
        <v>3146</v>
      </c>
      <c r="M10" s="105"/>
      <c r="N10" s="273" t="s">
        <v>628</v>
      </c>
    </row>
    <row r="11" spans="1:14" ht="42" x14ac:dyDescent="0.35">
      <c r="A11" s="212" t="s">
        <v>1115</v>
      </c>
      <c r="B11" s="119"/>
      <c r="C11" s="105" t="s">
        <v>570</v>
      </c>
      <c r="D11" s="213" t="s">
        <v>981</v>
      </c>
      <c r="E11" s="291">
        <v>2</v>
      </c>
      <c r="F11" s="277">
        <v>1000</v>
      </c>
      <c r="G11" s="105" t="s">
        <v>629</v>
      </c>
      <c r="H11" s="105" t="s">
        <v>456</v>
      </c>
      <c r="I11" s="105" t="s">
        <v>622</v>
      </c>
      <c r="J11" s="105">
        <v>1008</v>
      </c>
      <c r="K11" s="105" t="s">
        <v>630</v>
      </c>
      <c r="L11" s="104">
        <v>1008</v>
      </c>
      <c r="M11" s="105"/>
      <c r="N11" s="273" t="s">
        <v>631</v>
      </c>
    </row>
    <row r="12" spans="1:14" ht="15.75" customHeight="1" x14ac:dyDescent="0.35">
      <c r="A12" s="785" t="s">
        <v>1114</v>
      </c>
      <c r="B12" s="749"/>
      <c r="C12" s="773" t="s">
        <v>571</v>
      </c>
      <c r="D12" s="786" t="s">
        <v>981</v>
      </c>
      <c r="E12" s="769">
        <v>16</v>
      </c>
      <c r="F12" s="771">
        <v>16000</v>
      </c>
      <c r="G12" s="773" t="s">
        <v>632</v>
      </c>
      <c r="H12" s="773" t="s">
        <v>456</v>
      </c>
      <c r="I12" s="773" t="s">
        <v>622</v>
      </c>
      <c r="J12" s="763">
        <v>26208.6</v>
      </c>
      <c r="K12" s="292" t="s">
        <v>630</v>
      </c>
      <c r="L12" s="275">
        <v>13104.3</v>
      </c>
      <c r="M12" s="105"/>
      <c r="N12" s="765" t="s">
        <v>633</v>
      </c>
    </row>
    <row r="13" spans="1:14" ht="42" x14ac:dyDescent="0.35">
      <c r="A13" s="785"/>
      <c r="B13" s="747"/>
      <c r="C13" s="774"/>
      <c r="D13" s="787"/>
      <c r="E13" s="770"/>
      <c r="F13" s="772"/>
      <c r="G13" s="774"/>
      <c r="H13" s="774"/>
      <c r="I13" s="774"/>
      <c r="J13" s="764"/>
      <c r="K13" s="293" t="s">
        <v>634</v>
      </c>
      <c r="L13" s="288">
        <v>13104.3</v>
      </c>
      <c r="M13" s="105"/>
      <c r="N13" s="766"/>
    </row>
    <row r="14" spans="1:14" ht="15.75" customHeight="1" x14ac:dyDescent="0.35">
      <c r="A14" s="212"/>
      <c r="B14" s="749"/>
      <c r="C14" s="767" t="s">
        <v>572</v>
      </c>
      <c r="D14" s="786" t="s">
        <v>981</v>
      </c>
      <c r="E14" s="769">
        <v>20</v>
      </c>
      <c r="F14" s="771">
        <v>810</v>
      </c>
      <c r="G14" s="105" t="s">
        <v>573</v>
      </c>
      <c r="H14" s="105" t="s">
        <v>574</v>
      </c>
      <c r="I14" s="105" t="s">
        <v>575</v>
      </c>
      <c r="J14" s="104">
        <v>405.35</v>
      </c>
      <c r="K14" s="274" t="s">
        <v>576</v>
      </c>
      <c r="L14" s="104">
        <v>405.35</v>
      </c>
      <c r="M14" s="104"/>
      <c r="N14" s="273" t="s">
        <v>577</v>
      </c>
    </row>
    <row r="15" spans="1:14" ht="56" x14ac:dyDescent="0.35">
      <c r="A15" s="212" t="s">
        <v>1117</v>
      </c>
      <c r="B15" s="747"/>
      <c r="C15" s="768"/>
      <c r="D15" s="787"/>
      <c r="E15" s="770"/>
      <c r="F15" s="772"/>
      <c r="G15" s="289" t="s">
        <v>578</v>
      </c>
      <c r="H15" s="289" t="s">
        <v>579</v>
      </c>
      <c r="I15" s="274" t="s">
        <v>575</v>
      </c>
      <c r="J15" s="258">
        <v>405.35</v>
      </c>
      <c r="K15" s="289" t="s">
        <v>580</v>
      </c>
      <c r="L15" s="258">
        <v>405.35</v>
      </c>
      <c r="M15" s="258"/>
      <c r="N15" s="273" t="s">
        <v>577</v>
      </c>
    </row>
    <row r="16" spans="1:14" ht="42" x14ac:dyDescent="0.35">
      <c r="A16" s="105" t="s">
        <v>189</v>
      </c>
      <c r="B16" s="119"/>
      <c r="C16" s="105" t="s">
        <v>189</v>
      </c>
      <c r="D16" s="213" t="s">
        <v>981</v>
      </c>
      <c r="E16" s="291">
        <v>1</v>
      </c>
      <c r="F16" s="277">
        <v>4000</v>
      </c>
      <c r="G16" s="105" t="s">
        <v>729</v>
      </c>
      <c r="H16" s="105" t="s">
        <v>730</v>
      </c>
      <c r="I16" s="105" t="s">
        <v>457</v>
      </c>
      <c r="J16" s="104">
        <v>5155.8900000000003</v>
      </c>
      <c r="K16" s="274" t="s">
        <v>731</v>
      </c>
      <c r="L16" s="104">
        <v>5155.8900000000003</v>
      </c>
      <c r="M16" s="104"/>
      <c r="N16" s="273" t="s">
        <v>732</v>
      </c>
    </row>
    <row r="17" spans="1:14" ht="15.5" x14ac:dyDescent="0.35">
      <c r="A17" s="284"/>
      <c r="B17" s="79"/>
      <c r="C17" s="80" t="s">
        <v>581</v>
      </c>
      <c r="D17" s="285" t="s">
        <v>981</v>
      </c>
      <c r="E17" s="286">
        <v>1</v>
      </c>
      <c r="F17" s="287">
        <v>6500</v>
      </c>
      <c r="G17" s="80">
        <v>0</v>
      </c>
      <c r="H17" s="80">
        <v>0</v>
      </c>
      <c r="I17" s="80">
        <v>0</v>
      </c>
      <c r="J17" s="80">
        <v>0</v>
      </c>
      <c r="K17" s="80">
        <v>0</v>
      </c>
      <c r="L17" s="80">
        <v>0</v>
      </c>
      <c r="M17" s="80"/>
      <c r="N17" s="80"/>
    </row>
    <row r="18" spans="1:14" ht="28" x14ac:dyDescent="0.35">
      <c r="A18" s="105" t="s">
        <v>582</v>
      </c>
      <c r="B18" s="119"/>
      <c r="C18" s="105" t="s">
        <v>582</v>
      </c>
      <c r="D18" s="213" t="s">
        <v>981</v>
      </c>
      <c r="E18" s="291">
        <v>10</v>
      </c>
      <c r="F18" s="277">
        <v>700</v>
      </c>
      <c r="G18" s="105" t="s">
        <v>583</v>
      </c>
      <c r="H18" s="105" t="s">
        <v>38</v>
      </c>
      <c r="I18" s="105" t="s">
        <v>584</v>
      </c>
      <c r="J18" s="105">
        <v>786.5</v>
      </c>
      <c r="K18" s="105" t="s">
        <v>585</v>
      </c>
      <c r="L18" s="104">
        <v>786.5</v>
      </c>
      <c r="M18" s="105"/>
      <c r="N18" s="273" t="s">
        <v>577</v>
      </c>
    </row>
    <row r="19" spans="1:14" ht="42" x14ac:dyDescent="0.35">
      <c r="A19" s="105" t="s">
        <v>586</v>
      </c>
      <c r="B19" s="119"/>
      <c r="C19" s="105" t="s">
        <v>586</v>
      </c>
      <c r="D19" s="213" t="s">
        <v>981</v>
      </c>
      <c r="E19" s="291">
        <v>5</v>
      </c>
      <c r="F19" s="277">
        <v>15925</v>
      </c>
      <c r="G19" s="105" t="s">
        <v>733</v>
      </c>
      <c r="H19" s="105" t="s">
        <v>734</v>
      </c>
      <c r="I19" s="105" t="s">
        <v>622</v>
      </c>
      <c r="J19" s="105">
        <v>15306.5</v>
      </c>
      <c r="K19" s="105" t="s">
        <v>735</v>
      </c>
      <c r="L19" s="104">
        <v>15306.5</v>
      </c>
      <c r="M19" s="105"/>
      <c r="N19" s="273" t="s">
        <v>736</v>
      </c>
    </row>
    <row r="20" spans="1:14" ht="15.5" x14ac:dyDescent="0.3">
      <c r="A20" s="274" t="s">
        <v>141</v>
      </c>
      <c r="B20" s="15"/>
      <c r="C20" s="781" t="s">
        <v>141</v>
      </c>
      <c r="D20" s="24" t="s">
        <v>981</v>
      </c>
      <c r="E20" s="775">
        <v>16</v>
      </c>
      <c r="F20" s="778">
        <v>4800</v>
      </c>
      <c r="G20" s="271" t="s">
        <v>587</v>
      </c>
      <c r="H20" s="271" t="s">
        <v>588</v>
      </c>
      <c r="I20" s="105"/>
      <c r="J20" s="272">
        <v>67.989999999999995</v>
      </c>
      <c r="K20" s="271" t="s">
        <v>590</v>
      </c>
      <c r="L20" s="272">
        <v>67.989999999999995</v>
      </c>
      <c r="M20" s="104"/>
      <c r="N20" s="273" t="s">
        <v>591</v>
      </c>
    </row>
    <row r="21" spans="1:14" ht="31" x14ac:dyDescent="0.3">
      <c r="A21" s="47"/>
      <c r="B21" s="138"/>
      <c r="C21" s="789"/>
      <c r="D21" s="503" t="s">
        <v>981</v>
      </c>
      <c r="E21" s="776"/>
      <c r="F21" s="779"/>
      <c r="G21" s="187" t="s">
        <v>592</v>
      </c>
      <c r="H21" s="187" t="s">
        <v>593</v>
      </c>
      <c r="I21" s="187" t="s">
        <v>589</v>
      </c>
      <c r="J21" s="86">
        <v>72.599999999999994</v>
      </c>
      <c r="K21" s="187" t="s">
        <v>594</v>
      </c>
      <c r="L21" s="86">
        <v>72.599999999999994</v>
      </c>
      <c r="M21" s="84"/>
      <c r="N21" s="39" t="s">
        <v>960</v>
      </c>
    </row>
    <row r="22" spans="1:14" ht="31" x14ac:dyDescent="0.3">
      <c r="A22" s="47"/>
      <c r="B22" s="15"/>
      <c r="C22" s="789"/>
      <c r="D22" s="24" t="s">
        <v>981</v>
      </c>
      <c r="E22" s="776"/>
      <c r="F22" s="779"/>
      <c r="G22" s="187" t="s">
        <v>595</v>
      </c>
      <c r="H22" s="187" t="s">
        <v>596</v>
      </c>
      <c r="I22" s="187" t="s">
        <v>589</v>
      </c>
      <c r="J22" s="86">
        <v>193.6</v>
      </c>
      <c r="K22" s="187" t="s">
        <v>597</v>
      </c>
      <c r="L22" s="86">
        <v>193.6</v>
      </c>
      <c r="M22" s="84"/>
      <c r="N22" s="39" t="s">
        <v>960</v>
      </c>
    </row>
    <row r="23" spans="1:14" ht="15.5" x14ac:dyDescent="0.3">
      <c r="A23" s="274" t="s">
        <v>1118</v>
      </c>
      <c r="B23" s="15"/>
      <c r="C23" s="782"/>
      <c r="D23" s="24" t="s">
        <v>981</v>
      </c>
      <c r="E23" s="777"/>
      <c r="F23" s="780"/>
      <c r="G23" s="271" t="s">
        <v>598</v>
      </c>
      <c r="H23" s="271" t="s">
        <v>599</v>
      </c>
      <c r="I23" s="271" t="s">
        <v>589</v>
      </c>
      <c r="J23" s="272">
        <v>36.299999999999997</v>
      </c>
      <c r="K23" s="271" t="s">
        <v>600</v>
      </c>
      <c r="L23" s="272">
        <v>36.299999999999997</v>
      </c>
      <c r="M23" s="104"/>
      <c r="N23" s="273" t="s">
        <v>601</v>
      </c>
    </row>
    <row r="24" spans="1:14" ht="15.5" x14ac:dyDescent="0.3">
      <c r="A24" s="274" t="s">
        <v>602</v>
      </c>
      <c r="B24" s="15"/>
      <c r="C24" s="781" t="s">
        <v>602</v>
      </c>
      <c r="D24" s="24" t="s">
        <v>981</v>
      </c>
      <c r="E24" s="775">
        <v>16</v>
      </c>
      <c r="F24" s="778">
        <v>480</v>
      </c>
      <c r="G24" s="271" t="s">
        <v>587</v>
      </c>
      <c r="H24" s="271" t="s">
        <v>603</v>
      </c>
      <c r="I24" s="274" t="s">
        <v>589</v>
      </c>
      <c r="J24" s="272">
        <v>177.47</v>
      </c>
      <c r="K24" s="271" t="s">
        <v>590</v>
      </c>
      <c r="L24" s="272">
        <v>177.47</v>
      </c>
      <c r="M24" s="104"/>
      <c r="N24" s="273" t="s">
        <v>591</v>
      </c>
    </row>
    <row r="25" spans="1:14" ht="31" x14ac:dyDescent="0.35">
      <c r="A25" s="47"/>
      <c r="B25" s="138"/>
      <c r="C25" s="782"/>
      <c r="D25" s="503" t="s">
        <v>981</v>
      </c>
      <c r="E25" s="777"/>
      <c r="F25" s="780"/>
      <c r="G25" s="186" t="s">
        <v>595</v>
      </c>
      <c r="H25" s="186" t="s">
        <v>604</v>
      </c>
      <c r="I25" s="186" t="s">
        <v>589</v>
      </c>
      <c r="J25" s="84">
        <v>834.9</v>
      </c>
      <c r="K25" s="186" t="s">
        <v>1000</v>
      </c>
      <c r="L25" s="84">
        <v>834.9</v>
      </c>
      <c r="M25" s="84"/>
      <c r="N25" s="39" t="s">
        <v>960</v>
      </c>
    </row>
    <row r="26" spans="1:14" ht="31" x14ac:dyDescent="0.35">
      <c r="A26" s="47"/>
      <c r="B26" s="15"/>
      <c r="C26" s="788" t="s">
        <v>605</v>
      </c>
      <c r="D26" s="24" t="s">
        <v>981</v>
      </c>
      <c r="E26" s="783">
        <v>16</v>
      </c>
      <c r="F26" s="784">
        <v>640</v>
      </c>
      <c r="G26" s="85" t="s">
        <v>606</v>
      </c>
      <c r="H26" s="186" t="s">
        <v>604</v>
      </c>
      <c r="I26" s="85" t="s">
        <v>589</v>
      </c>
      <c r="J26" s="85">
        <v>394.46</v>
      </c>
      <c r="K26" s="85" t="s">
        <v>597</v>
      </c>
      <c r="L26" s="84">
        <v>394.46</v>
      </c>
      <c r="M26" s="85"/>
      <c r="N26" s="39" t="s">
        <v>960</v>
      </c>
    </row>
    <row r="27" spans="1:14" ht="15.5" x14ac:dyDescent="0.35">
      <c r="A27" s="324" t="s">
        <v>1090</v>
      </c>
      <c r="B27" s="15"/>
      <c r="C27" s="782"/>
      <c r="D27" s="24" t="s">
        <v>981</v>
      </c>
      <c r="E27" s="777"/>
      <c r="F27" s="780"/>
      <c r="G27" s="105" t="s">
        <v>635</v>
      </c>
      <c r="H27" s="274" t="s">
        <v>626</v>
      </c>
      <c r="I27" s="105" t="s">
        <v>636</v>
      </c>
      <c r="J27" s="105">
        <v>221.76</v>
      </c>
      <c r="K27" s="105" t="s">
        <v>637</v>
      </c>
      <c r="L27" s="104">
        <v>221.76</v>
      </c>
      <c r="M27" s="105"/>
      <c r="N27" s="273" t="s">
        <v>638</v>
      </c>
    </row>
    <row r="28" spans="1:14" ht="42" x14ac:dyDescent="0.35">
      <c r="A28" s="105" t="s">
        <v>607</v>
      </c>
      <c r="B28" s="15"/>
      <c r="C28" s="82" t="s">
        <v>607</v>
      </c>
      <c r="D28" s="24" t="s">
        <v>981</v>
      </c>
      <c r="E28" s="87">
        <v>2</v>
      </c>
      <c r="F28" s="83">
        <v>400</v>
      </c>
      <c r="G28" s="105" t="s">
        <v>639</v>
      </c>
      <c r="H28" s="105" t="s">
        <v>640</v>
      </c>
      <c r="I28" s="105" t="s">
        <v>641</v>
      </c>
      <c r="J28" s="105">
        <v>296</v>
      </c>
      <c r="K28" s="105" t="s">
        <v>642</v>
      </c>
      <c r="L28" s="104">
        <v>296</v>
      </c>
      <c r="M28" s="104"/>
      <c r="N28" s="273" t="s">
        <v>643</v>
      </c>
    </row>
    <row r="29" spans="1:14" ht="28" x14ac:dyDescent="0.35">
      <c r="A29" s="105" t="s">
        <v>608</v>
      </c>
      <c r="B29" s="15"/>
      <c r="C29" s="82" t="s">
        <v>608</v>
      </c>
      <c r="D29" s="24" t="s">
        <v>981</v>
      </c>
      <c r="E29" s="87">
        <v>1</v>
      </c>
      <c r="F29" s="83">
        <v>2500</v>
      </c>
      <c r="G29" s="105" t="s">
        <v>644</v>
      </c>
      <c r="H29" s="105" t="s">
        <v>505</v>
      </c>
      <c r="I29" s="105" t="s">
        <v>645</v>
      </c>
      <c r="J29" s="105">
        <v>2450</v>
      </c>
      <c r="K29" s="105" t="s">
        <v>999</v>
      </c>
      <c r="L29" s="275">
        <v>2450</v>
      </c>
      <c r="M29" s="105"/>
      <c r="N29" s="273" t="s">
        <v>646</v>
      </c>
    </row>
    <row r="30" spans="1:14" ht="31" x14ac:dyDescent="0.35">
      <c r="A30" s="181"/>
      <c r="B30" s="182"/>
      <c r="C30" s="180" t="s">
        <v>609</v>
      </c>
      <c r="D30" s="111" t="s">
        <v>981</v>
      </c>
      <c r="E30" s="183">
        <v>3</v>
      </c>
      <c r="F30" s="184">
        <v>285</v>
      </c>
      <c r="G30" s="180" t="s">
        <v>610</v>
      </c>
      <c r="H30" s="180" t="s">
        <v>281</v>
      </c>
      <c r="I30" s="180" t="s">
        <v>611</v>
      </c>
      <c r="J30" s="180">
        <v>285</v>
      </c>
      <c r="K30" s="180" t="s">
        <v>612</v>
      </c>
      <c r="L30" s="185">
        <v>285</v>
      </c>
      <c r="M30" s="180"/>
      <c r="N30" s="39" t="s">
        <v>960</v>
      </c>
    </row>
    <row r="31" spans="1:14" ht="42" x14ac:dyDescent="0.35">
      <c r="A31" s="105" t="s">
        <v>613</v>
      </c>
      <c r="B31" s="119"/>
      <c r="C31" s="105" t="s">
        <v>613</v>
      </c>
      <c r="D31" s="213" t="s">
        <v>981</v>
      </c>
      <c r="E31" s="276">
        <v>5</v>
      </c>
      <c r="F31" s="277">
        <v>250</v>
      </c>
      <c r="G31" s="105" t="s">
        <v>639</v>
      </c>
      <c r="H31" s="105" t="s">
        <v>640</v>
      </c>
      <c r="I31" s="105" t="s">
        <v>641</v>
      </c>
      <c r="J31" s="105">
        <v>202.1</v>
      </c>
      <c r="K31" s="105" t="s">
        <v>642</v>
      </c>
      <c r="L31" s="104">
        <v>202.1</v>
      </c>
      <c r="M31" s="104"/>
      <c r="N31" s="273" t="s">
        <v>647</v>
      </c>
    </row>
    <row r="32" spans="1:14" ht="15.5" x14ac:dyDescent="0.35">
      <c r="A32" s="324" t="s">
        <v>1033</v>
      </c>
      <c r="B32" s="119"/>
      <c r="C32" s="105" t="s">
        <v>340</v>
      </c>
      <c r="D32" s="213" t="s">
        <v>981</v>
      </c>
      <c r="E32" s="276">
        <v>5</v>
      </c>
      <c r="F32" s="277">
        <v>350</v>
      </c>
      <c r="G32" s="105" t="s">
        <v>614</v>
      </c>
      <c r="H32" s="105" t="s">
        <v>43</v>
      </c>
      <c r="I32" s="105" t="s">
        <v>615</v>
      </c>
      <c r="J32" s="105">
        <v>336</v>
      </c>
      <c r="K32" s="105" t="s">
        <v>616</v>
      </c>
      <c r="L32" s="104">
        <v>336</v>
      </c>
      <c r="M32" s="105"/>
      <c r="N32" s="273" t="s">
        <v>617</v>
      </c>
    </row>
    <row r="33" spans="1:14" ht="28" x14ac:dyDescent="0.35">
      <c r="A33" s="105" t="s">
        <v>1116</v>
      </c>
      <c r="B33" s="119"/>
      <c r="C33" s="105" t="s">
        <v>618</v>
      </c>
      <c r="D33" s="213" t="s">
        <v>981</v>
      </c>
      <c r="E33" s="276">
        <v>5</v>
      </c>
      <c r="F33" s="277">
        <v>200</v>
      </c>
      <c r="G33" s="105" t="s">
        <v>644</v>
      </c>
      <c r="H33" s="105" t="s">
        <v>505</v>
      </c>
      <c r="I33" s="105" t="s">
        <v>645</v>
      </c>
      <c r="J33" s="105">
        <v>250</v>
      </c>
      <c r="K33" s="105" t="s">
        <v>999</v>
      </c>
      <c r="L33" s="104">
        <v>250</v>
      </c>
      <c r="M33" s="105"/>
      <c r="N33" s="273" t="s">
        <v>648</v>
      </c>
    </row>
    <row r="34" spans="1:14" ht="42" x14ac:dyDescent="0.35">
      <c r="A34" s="105" t="s">
        <v>1111</v>
      </c>
      <c r="B34" s="119"/>
      <c r="C34" s="773" t="s">
        <v>619</v>
      </c>
      <c r="D34" s="213" t="s">
        <v>981</v>
      </c>
      <c r="E34" s="769">
        <v>5</v>
      </c>
      <c r="F34" s="771">
        <v>220</v>
      </c>
      <c r="G34" s="105" t="s">
        <v>639</v>
      </c>
      <c r="H34" s="105" t="s">
        <v>640</v>
      </c>
      <c r="I34" s="105" t="s">
        <v>641</v>
      </c>
      <c r="J34" s="105">
        <v>132.80000000000001</v>
      </c>
      <c r="K34" s="105" t="s">
        <v>642</v>
      </c>
      <c r="L34" s="104">
        <v>132.80000000000001</v>
      </c>
      <c r="M34" s="104"/>
      <c r="N34" s="273" t="s">
        <v>649</v>
      </c>
    </row>
    <row r="35" spans="1:14" ht="15.5" x14ac:dyDescent="0.35">
      <c r="A35" s="212" t="s">
        <v>1111</v>
      </c>
      <c r="B35" s="119"/>
      <c r="C35" s="774"/>
      <c r="D35" s="213" t="s">
        <v>981</v>
      </c>
      <c r="E35" s="770"/>
      <c r="F35" s="772"/>
      <c r="G35" s="105" t="s">
        <v>650</v>
      </c>
      <c r="H35" s="105" t="s">
        <v>368</v>
      </c>
      <c r="I35" s="105" t="s">
        <v>641</v>
      </c>
      <c r="J35" s="105">
        <v>33.200000000000003</v>
      </c>
      <c r="K35" s="105" t="s">
        <v>651</v>
      </c>
      <c r="L35" s="104">
        <v>33.200000000000003</v>
      </c>
      <c r="M35" s="104"/>
      <c r="N35" s="278" t="s">
        <v>652</v>
      </c>
    </row>
    <row r="36" spans="1:14" ht="42" x14ac:dyDescent="0.35">
      <c r="A36" s="105" t="s">
        <v>1112</v>
      </c>
      <c r="B36" s="119"/>
      <c r="C36" s="279" t="s">
        <v>620</v>
      </c>
      <c r="D36" s="213" t="s">
        <v>981</v>
      </c>
      <c r="E36" s="280">
        <v>2</v>
      </c>
      <c r="F36" s="281">
        <v>800</v>
      </c>
      <c r="G36" s="279" t="s">
        <v>639</v>
      </c>
      <c r="H36" s="279" t="s">
        <v>640</v>
      </c>
      <c r="I36" s="279" t="s">
        <v>641</v>
      </c>
      <c r="J36" s="279">
        <v>708</v>
      </c>
      <c r="K36" s="279" t="s">
        <v>642</v>
      </c>
      <c r="L36" s="282">
        <v>708</v>
      </c>
      <c r="M36" s="282"/>
      <c r="N36" s="283" t="s">
        <v>653</v>
      </c>
    </row>
    <row r="37" spans="1:14" ht="42.75" customHeight="1" x14ac:dyDescent="0.35">
      <c r="A37" s="762" t="s">
        <v>963</v>
      </c>
      <c r="B37" s="762"/>
      <c r="C37" s="762"/>
      <c r="D37" s="762"/>
      <c r="E37" s="762"/>
      <c r="F37" s="762"/>
      <c r="G37" s="762"/>
      <c r="H37" s="762"/>
      <c r="I37" s="762"/>
      <c r="J37" s="762"/>
      <c r="K37" s="762"/>
      <c r="L37" s="762"/>
      <c r="M37" s="762"/>
      <c r="N37" s="762"/>
    </row>
    <row r="38" spans="1:14" ht="57.75" customHeight="1" x14ac:dyDescent="0.35">
      <c r="A38" s="174"/>
      <c r="B38" s="146"/>
      <c r="C38" s="146"/>
      <c r="D38" s="146"/>
      <c r="E38" s="146"/>
      <c r="F38" s="146"/>
      <c r="G38" s="146"/>
      <c r="H38" s="146"/>
      <c r="I38" s="146"/>
      <c r="J38" s="146"/>
      <c r="K38" s="146"/>
      <c r="L38" s="146"/>
      <c r="M38" s="146"/>
      <c r="N38" s="146"/>
    </row>
    <row r="39" spans="1:14" x14ac:dyDescent="0.35">
      <c r="A39" s="174"/>
      <c r="B39" s="174"/>
      <c r="C39" s="174"/>
      <c r="D39" s="174"/>
      <c r="E39" s="174"/>
      <c r="F39" s="174"/>
      <c r="G39" s="174"/>
      <c r="H39" s="174"/>
      <c r="I39" s="174"/>
      <c r="J39" s="174"/>
      <c r="K39" s="174"/>
      <c r="L39" s="174"/>
      <c r="M39" s="174"/>
      <c r="N39" s="174"/>
    </row>
  </sheetData>
  <autoFilter ref="A7:N37" xr:uid="{11FD2CDE-A24E-4546-B9AC-DA5145F4E127}"/>
  <mergeCells count="43">
    <mergeCell ref="A12:A13"/>
    <mergeCell ref="D12:D13"/>
    <mergeCell ref="D14:D15"/>
    <mergeCell ref="B14:B15"/>
    <mergeCell ref="C26:C27"/>
    <mergeCell ref="C20:C23"/>
    <mergeCell ref="E26:E27"/>
    <mergeCell ref="F26:F27"/>
    <mergeCell ref="C34:C35"/>
    <mergeCell ref="E34:E35"/>
    <mergeCell ref="F34:F35"/>
    <mergeCell ref="E20:E23"/>
    <mergeCell ref="F20:F23"/>
    <mergeCell ref="C24:C25"/>
    <mergeCell ref="E24:E25"/>
    <mergeCell ref="F24:F25"/>
    <mergeCell ref="J12:J13"/>
    <mergeCell ref="N12:N13"/>
    <mergeCell ref="C14:C15"/>
    <mergeCell ref="E14:E15"/>
    <mergeCell ref="F14:F15"/>
    <mergeCell ref="H12:H13"/>
    <mergeCell ref="C12:C13"/>
    <mergeCell ref="E12:E13"/>
    <mergeCell ref="F12:F13"/>
    <mergeCell ref="G12:G13"/>
    <mergeCell ref="I12:I13"/>
    <mergeCell ref="A8:B8"/>
    <mergeCell ref="A6:A7"/>
    <mergeCell ref="A2:B2"/>
    <mergeCell ref="D6:D7"/>
    <mergeCell ref="A37:N37"/>
    <mergeCell ref="B4:N4"/>
    <mergeCell ref="G5:N5"/>
    <mergeCell ref="B6:B7"/>
    <mergeCell ref="C6:C7"/>
    <mergeCell ref="E6:E7"/>
    <mergeCell ref="F6:F7"/>
    <mergeCell ref="G6:J6"/>
    <mergeCell ref="N6:N7"/>
    <mergeCell ref="K6:M6"/>
    <mergeCell ref="A5:F5"/>
    <mergeCell ref="B12:B13"/>
  </mergeCells>
  <pageMargins left="0.7" right="0.7" top="0.75" bottom="0.75" header="0.3" footer="0.3"/>
  <pageSetup paperSize="9" scale="34"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27E4-6EFE-4E65-BB27-AA0A5CD68224}">
  <sheetPr>
    <tabColor rgb="FF00B0F0"/>
  </sheetPr>
  <dimension ref="A1:O20"/>
  <sheetViews>
    <sheetView view="pageBreakPreview" zoomScale="60" zoomScaleNormal="100" workbookViewId="0">
      <selection activeCell="J14" sqref="J14"/>
    </sheetView>
  </sheetViews>
  <sheetFormatPr defaultColWidth="9.1796875" defaultRowHeight="14" x14ac:dyDescent="0.35"/>
  <cols>
    <col min="1" max="1" width="15" style="11" customWidth="1"/>
    <col min="2" max="2" width="21.7265625" style="11" customWidth="1"/>
    <col min="3" max="3" width="32" style="11" customWidth="1"/>
    <col min="4" max="4" width="20.81640625" style="11" customWidth="1"/>
    <col min="5" max="5" width="12.1796875" style="11" customWidth="1"/>
    <col min="6" max="6" width="16.81640625" style="11" customWidth="1"/>
    <col min="7" max="8" width="14.1796875" style="11" customWidth="1"/>
    <col min="9" max="9" width="21" style="11" customWidth="1"/>
    <col min="10" max="11" width="14.26953125" style="11" customWidth="1"/>
    <col min="12" max="12" width="15.26953125" style="11" customWidth="1"/>
    <col min="13" max="13" width="14.1796875" style="11" customWidth="1"/>
    <col min="14" max="14" width="49.453125" style="11" customWidth="1"/>
    <col min="15" max="15" width="14.1796875" style="10" customWidth="1"/>
    <col min="16" max="18" width="10" style="11" bestFit="1" customWidth="1"/>
    <col min="19" max="16384" width="9.1796875" style="11"/>
  </cols>
  <sheetData>
    <row r="1" spans="1:14" ht="15.5" x14ac:dyDescent="0.35">
      <c r="B1" s="8"/>
      <c r="C1" s="8"/>
      <c r="D1" s="8"/>
      <c r="E1" s="8"/>
      <c r="F1" s="8"/>
      <c r="G1" s="8"/>
      <c r="H1" s="8"/>
      <c r="I1" s="8"/>
      <c r="J1" s="8"/>
      <c r="K1" s="8"/>
      <c r="L1" s="8"/>
      <c r="M1" s="8"/>
      <c r="N1" s="9"/>
    </row>
    <row r="2" spans="1:14" ht="21.75" customHeight="1" x14ac:dyDescent="0.35">
      <c r="A2" s="793" t="s">
        <v>552</v>
      </c>
      <c r="B2" s="793"/>
      <c r="C2" s="27"/>
      <c r="D2" s="27"/>
      <c r="E2" s="8"/>
      <c r="F2" s="8"/>
      <c r="G2" s="8"/>
      <c r="H2" s="8"/>
      <c r="I2" s="147"/>
      <c r="J2" s="148"/>
      <c r="K2" s="148"/>
      <c r="L2" s="8"/>
      <c r="M2" s="97"/>
      <c r="N2" s="9"/>
    </row>
    <row r="3" spans="1:14" ht="15.5" x14ac:dyDescent="0.35">
      <c r="B3" s="8"/>
      <c r="C3" s="27"/>
      <c r="D3" s="27"/>
      <c r="E3" s="8"/>
      <c r="F3" s="8"/>
      <c r="G3" s="8"/>
      <c r="H3" s="8"/>
      <c r="I3" s="147"/>
      <c r="J3" s="148"/>
      <c r="K3" s="148"/>
      <c r="L3" s="8"/>
      <c r="M3" s="8"/>
      <c r="N3" s="9"/>
    </row>
    <row r="4" spans="1:14" ht="17.5" x14ac:dyDescent="0.35">
      <c r="B4" s="589" t="s">
        <v>9</v>
      </c>
      <c r="C4" s="589"/>
      <c r="D4" s="589"/>
      <c r="E4" s="589"/>
      <c r="F4" s="590"/>
      <c r="G4" s="591"/>
      <c r="H4" s="591"/>
      <c r="I4" s="591"/>
      <c r="J4" s="591"/>
      <c r="K4" s="591"/>
      <c r="L4" s="591"/>
      <c r="M4" s="591"/>
      <c r="N4" s="592"/>
    </row>
    <row r="5" spans="1:14" ht="15.75" customHeight="1" x14ac:dyDescent="0.35">
      <c r="A5" s="600" t="s">
        <v>48</v>
      </c>
      <c r="B5" s="600"/>
      <c r="C5" s="600"/>
      <c r="D5" s="600"/>
      <c r="E5" s="600"/>
      <c r="F5" s="600"/>
      <c r="G5" s="593" t="s">
        <v>9</v>
      </c>
      <c r="H5" s="594"/>
      <c r="I5" s="594"/>
      <c r="J5" s="594"/>
      <c r="K5" s="594"/>
      <c r="L5" s="594"/>
      <c r="M5" s="594"/>
      <c r="N5" s="595"/>
    </row>
    <row r="6" spans="1:14" ht="15.75" customHeight="1" x14ac:dyDescent="0.35">
      <c r="A6" s="596" t="s">
        <v>950</v>
      </c>
      <c r="B6" s="596" t="s">
        <v>10</v>
      </c>
      <c r="C6" s="596" t="s">
        <v>46</v>
      </c>
      <c r="D6" s="596" t="s">
        <v>951</v>
      </c>
      <c r="E6" s="596" t="s">
        <v>11</v>
      </c>
      <c r="F6" s="596" t="s">
        <v>12</v>
      </c>
      <c r="G6" s="593" t="s">
        <v>14</v>
      </c>
      <c r="H6" s="594"/>
      <c r="I6" s="594"/>
      <c r="J6" s="595"/>
      <c r="K6" s="593" t="s">
        <v>948</v>
      </c>
      <c r="L6" s="594"/>
      <c r="M6" s="595"/>
      <c r="N6" s="604" t="s">
        <v>947</v>
      </c>
    </row>
    <row r="7" spans="1:14" ht="51" customHeight="1" x14ac:dyDescent="0.35">
      <c r="A7" s="597"/>
      <c r="B7" s="597"/>
      <c r="C7" s="597"/>
      <c r="D7" s="597"/>
      <c r="E7" s="597"/>
      <c r="F7" s="597"/>
      <c r="G7" s="12" t="s">
        <v>14</v>
      </c>
      <c r="H7" s="12" t="s">
        <v>15</v>
      </c>
      <c r="I7" s="12" t="s">
        <v>16</v>
      </c>
      <c r="J7" s="12" t="s">
        <v>17</v>
      </c>
      <c r="K7" s="12" t="s">
        <v>952</v>
      </c>
      <c r="L7" s="12" t="s">
        <v>953</v>
      </c>
      <c r="M7" s="12" t="s">
        <v>954</v>
      </c>
      <c r="N7" s="597"/>
    </row>
    <row r="8" spans="1:14" ht="15" x14ac:dyDescent="0.35">
      <c r="A8" s="575" t="s">
        <v>18</v>
      </c>
      <c r="B8" s="576"/>
      <c r="C8" s="14"/>
      <c r="D8" s="14"/>
      <c r="E8" s="14"/>
      <c r="F8" s="76">
        <f>SUM(F9:F18)</f>
        <v>207750</v>
      </c>
      <c r="G8" s="14"/>
      <c r="H8" s="14"/>
      <c r="I8" s="14"/>
      <c r="J8" s="77">
        <f>SUM(J9:J18)</f>
        <v>160216.1</v>
      </c>
      <c r="K8" s="77"/>
      <c r="L8" s="77">
        <f t="shared" ref="L8" si="0">SUM(L9:L18)</f>
        <v>160216.1</v>
      </c>
      <c r="M8" s="77"/>
      <c r="N8" s="14"/>
    </row>
    <row r="9" spans="1:14" ht="46.5" x14ac:dyDescent="0.35">
      <c r="A9" s="253" t="s">
        <v>1119</v>
      </c>
      <c r="B9" s="119"/>
      <c r="C9" s="253" t="s">
        <v>553</v>
      </c>
      <c r="D9" s="213" t="s">
        <v>981</v>
      </c>
      <c r="E9" s="254">
        <v>1</v>
      </c>
      <c r="F9" s="255">
        <v>115000</v>
      </c>
      <c r="G9" s="215" t="s">
        <v>554</v>
      </c>
      <c r="H9" s="256">
        <v>44273</v>
      </c>
      <c r="I9" s="215" t="s">
        <v>555</v>
      </c>
      <c r="J9" s="257">
        <v>74859.070000000007</v>
      </c>
      <c r="K9" s="258" t="s">
        <v>777</v>
      </c>
      <c r="L9" s="258">
        <v>74859.070000000007</v>
      </c>
      <c r="M9" s="213"/>
      <c r="N9" s="259" t="s">
        <v>1126</v>
      </c>
    </row>
    <row r="10" spans="1:14" ht="46.5" x14ac:dyDescent="0.35">
      <c r="A10" s="324" t="s">
        <v>1124</v>
      </c>
      <c r="B10" s="119"/>
      <c r="C10" s="253" t="s">
        <v>556</v>
      </c>
      <c r="D10" s="213" t="s">
        <v>981</v>
      </c>
      <c r="E10" s="254">
        <v>5</v>
      </c>
      <c r="F10" s="255">
        <v>24000</v>
      </c>
      <c r="G10" s="215" t="s">
        <v>778</v>
      </c>
      <c r="H10" s="256" t="s">
        <v>779</v>
      </c>
      <c r="I10" s="215" t="s">
        <v>773</v>
      </c>
      <c r="J10" s="260">
        <v>9075</v>
      </c>
      <c r="K10" s="213">
        <v>3544</v>
      </c>
      <c r="L10" s="213">
        <v>9075</v>
      </c>
      <c r="M10" s="260"/>
      <c r="N10" s="119" t="s">
        <v>780</v>
      </c>
    </row>
    <row r="11" spans="1:14" ht="46.5" x14ac:dyDescent="0.35">
      <c r="A11" s="324" t="s">
        <v>1123</v>
      </c>
      <c r="B11" s="119"/>
      <c r="C11" s="253" t="s">
        <v>557</v>
      </c>
      <c r="D11" s="213" t="s">
        <v>981</v>
      </c>
      <c r="E11" s="254">
        <v>30</v>
      </c>
      <c r="F11" s="261">
        <v>1500</v>
      </c>
      <c r="G11" s="262" t="s">
        <v>781</v>
      </c>
      <c r="H11" s="256" t="s">
        <v>1122</v>
      </c>
      <c r="I11" s="262" t="s">
        <v>149</v>
      </c>
      <c r="J11" s="263">
        <v>1996.5</v>
      </c>
      <c r="K11" s="264">
        <v>3454</v>
      </c>
      <c r="L11" s="264">
        <v>1996.5</v>
      </c>
      <c r="M11" s="263"/>
      <c r="N11" s="265" t="s">
        <v>782</v>
      </c>
    </row>
    <row r="12" spans="1:14" ht="46.5" x14ac:dyDescent="0.35">
      <c r="A12" s="266" t="s">
        <v>68</v>
      </c>
      <c r="B12" s="119"/>
      <c r="C12" s="266" t="s">
        <v>68</v>
      </c>
      <c r="D12" s="213" t="s">
        <v>981</v>
      </c>
      <c r="E12" s="254">
        <v>5</v>
      </c>
      <c r="F12" s="255">
        <v>3600</v>
      </c>
      <c r="G12" s="215" t="s">
        <v>783</v>
      </c>
      <c r="H12" s="256" t="s">
        <v>784</v>
      </c>
      <c r="I12" s="215" t="s">
        <v>555</v>
      </c>
      <c r="J12" s="260">
        <v>3569.5</v>
      </c>
      <c r="K12" s="258" t="s">
        <v>785</v>
      </c>
      <c r="L12" s="258">
        <v>3569.5</v>
      </c>
      <c r="M12" s="260"/>
      <c r="N12" s="119" t="s">
        <v>786</v>
      </c>
    </row>
    <row r="13" spans="1:14" ht="46.5" x14ac:dyDescent="0.35">
      <c r="A13" s="253" t="s">
        <v>558</v>
      </c>
      <c r="B13" s="119"/>
      <c r="C13" s="253" t="s">
        <v>558</v>
      </c>
      <c r="D13" s="213" t="s">
        <v>981</v>
      </c>
      <c r="E13" s="254">
        <v>5</v>
      </c>
      <c r="F13" s="255">
        <v>3750</v>
      </c>
      <c r="G13" s="215" t="s">
        <v>787</v>
      </c>
      <c r="H13" s="256" t="s">
        <v>784</v>
      </c>
      <c r="I13" s="215" t="s">
        <v>555</v>
      </c>
      <c r="J13" s="260">
        <v>3702.6</v>
      </c>
      <c r="K13" s="258" t="s">
        <v>788</v>
      </c>
      <c r="L13" s="258">
        <v>3702.6</v>
      </c>
      <c r="M13" s="260"/>
      <c r="N13" s="119" t="s">
        <v>1128</v>
      </c>
    </row>
    <row r="14" spans="1:14" ht="52.5" customHeight="1" x14ac:dyDescent="0.35">
      <c r="A14" s="253" t="s">
        <v>559</v>
      </c>
      <c r="B14" s="119"/>
      <c r="C14" s="253" t="s">
        <v>559</v>
      </c>
      <c r="D14" s="213" t="s">
        <v>981</v>
      </c>
      <c r="E14" s="254">
        <v>1</v>
      </c>
      <c r="F14" s="267">
        <v>12100</v>
      </c>
      <c r="G14" s="215" t="s">
        <v>560</v>
      </c>
      <c r="H14" s="256">
        <v>44293</v>
      </c>
      <c r="I14" s="215" t="s">
        <v>561</v>
      </c>
      <c r="J14" s="257">
        <v>14096.5</v>
      </c>
      <c r="K14" s="268">
        <v>3412</v>
      </c>
      <c r="L14" s="269">
        <v>14096.5</v>
      </c>
      <c r="M14" s="269"/>
      <c r="N14" s="119" t="s">
        <v>1127</v>
      </c>
    </row>
    <row r="15" spans="1:14" ht="62" x14ac:dyDescent="0.35">
      <c r="A15" s="253" t="s">
        <v>1125</v>
      </c>
      <c r="B15" s="119"/>
      <c r="C15" s="253" t="s">
        <v>562</v>
      </c>
      <c r="D15" s="213" t="s">
        <v>981</v>
      </c>
      <c r="E15" s="254">
        <v>7</v>
      </c>
      <c r="F15" s="255">
        <v>21000</v>
      </c>
      <c r="G15" s="213" t="s">
        <v>836</v>
      </c>
      <c r="H15" s="256">
        <v>44363</v>
      </c>
      <c r="I15" s="215" t="s">
        <v>561</v>
      </c>
      <c r="J15" s="260">
        <v>25410</v>
      </c>
      <c r="K15" s="213">
        <v>3656</v>
      </c>
      <c r="L15" s="213">
        <v>25410</v>
      </c>
      <c r="M15" s="260"/>
      <c r="N15" s="119" t="s">
        <v>1129</v>
      </c>
    </row>
    <row r="16" spans="1:14" ht="46.5" x14ac:dyDescent="0.35">
      <c r="A16" s="270" t="s">
        <v>563</v>
      </c>
      <c r="B16" s="119"/>
      <c r="C16" s="270" t="s">
        <v>563</v>
      </c>
      <c r="D16" s="213" t="s">
        <v>981</v>
      </c>
      <c r="E16" s="254">
        <v>1</v>
      </c>
      <c r="F16" s="261">
        <v>10800</v>
      </c>
      <c r="G16" s="264" t="s">
        <v>789</v>
      </c>
      <c r="H16" s="262" t="s">
        <v>790</v>
      </c>
      <c r="I16" s="262" t="s">
        <v>149</v>
      </c>
      <c r="J16" s="264">
        <v>7541.93</v>
      </c>
      <c r="K16" s="264">
        <v>3454</v>
      </c>
      <c r="L16" s="264">
        <v>7541.93</v>
      </c>
      <c r="M16" s="264"/>
      <c r="N16" s="265" t="s">
        <v>791</v>
      </c>
    </row>
    <row r="17" spans="1:14" ht="46.5" x14ac:dyDescent="0.35">
      <c r="A17" s="253" t="s">
        <v>1120</v>
      </c>
      <c r="B17" s="119"/>
      <c r="C17" s="253" t="s">
        <v>1121</v>
      </c>
      <c r="D17" s="213" t="s">
        <v>981</v>
      </c>
      <c r="E17" s="254">
        <v>2</v>
      </c>
      <c r="F17" s="255">
        <v>10400</v>
      </c>
      <c r="G17" s="215" t="s">
        <v>564</v>
      </c>
      <c r="H17" s="256">
        <v>44294</v>
      </c>
      <c r="I17" s="215" t="s">
        <v>565</v>
      </c>
      <c r="J17" s="257">
        <v>14762</v>
      </c>
      <c r="K17" s="213">
        <v>3411</v>
      </c>
      <c r="L17" s="257">
        <v>14762</v>
      </c>
      <c r="M17" s="260"/>
      <c r="N17" s="119" t="s">
        <v>792</v>
      </c>
    </row>
    <row r="18" spans="1:14" ht="46.5" x14ac:dyDescent="0.35">
      <c r="A18" s="253" t="s">
        <v>566</v>
      </c>
      <c r="B18" s="119"/>
      <c r="C18" s="253" t="s">
        <v>566</v>
      </c>
      <c r="D18" s="213" t="s">
        <v>981</v>
      </c>
      <c r="E18" s="254">
        <v>2</v>
      </c>
      <c r="F18" s="255">
        <v>5600</v>
      </c>
      <c r="G18" s="215" t="s">
        <v>793</v>
      </c>
      <c r="H18" s="215" t="s">
        <v>794</v>
      </c>
      <c r="I18" s="215" t="s">
        <v>555</v>
      </c>
      <c r="J18" s="260">
        <v>5203</v>
      </c>
      <c r="K18" s="213">
        <v>3507</v>
      </c>
      <c r="L18" s="213">
        <v>5203</v>
      </c>
      <c r="M18" s="260"/>
      <c r="N18" s="119" t="s">
        <v>795</v>
      </c>
    </row>
    <row r="19" spans="1:14" ht="20.25" customHeight="1" x14ac:dyDescent="0.35">
      <c r="A19" s="790" t="s">
        <v>964</v>
      </c>
      <c r="B19" s="790"/>
      <c r="C19" s="790"/>
      <c r="D19" s="790"/>
      <c r="E19" s="790"/>
      <c r="F19" s="790"/>
      <c r="G19" s="790"/>
      <c r="H19" s="790"/>
      <c r="I19" s="790"/>
      <c r="J19" s="790"/>
      <c r="K19" s="790"/>
      <c r="L19" s="790"/>
      <c r="M19" s="790"/>
      <c r="N19" s="791"/>
    </row>
    <row r="20" spans="1:14" ht="18" customHeight="1" x14ac:dyDescent="0.35">
      <c r="A20" s="605"/>
      <c r="B20" s="605"/>
      <c r="C20" s="605"/>
      <c r="D20" s="605"/>
      <c r="E20" s="605"/>
      <c r="F20" s="605"/>
      <c r="G20" s="605"/>
      <c r="H20" s="605"/>
      <c r="I20" s="605"/>
      <c r="J20" s="605"/>
      <c r="K20" s="605"/>
      <c r="L20" s="605"/>
      <c r="M20" s="605"/>
      <c r="N20" s="792"/>
    </row>
  </sheetData>
  <autoFilter ref="A7:O20" xr:uid="{DB96E63E-AD47-47DA-93B1-EEC8E7B44821}"/>
  <mergeCells count="15">
    <mergeCell ref="A19:N20"/>
    <mergeCell ref="A2:B2"/>
    <mergeCell ref="B4:N4"/>
    <mergeCell ref="G5:N5"/>
    <mergeCell ref="B6:B7"/>
    <mergeCell ref="C6:C7"/>
    <mergeCell ref="E6:E7"/>
    <mergeCell ref="F6:F7"/>
    <mergeCell ref="G6:J6"/>
    <mergeCell ref="N6:N7"/>
    <mergeCell ref="A5:F5"/>
    <mergeCell ref="A6:A7"/>
    <mergeCell ref="D6:D7"/>
    <mergeCell ref="K6:M6"/>
    <mergeCell ref="A8:B8"/>
  </mergeCells>
  <pageMargins left="0.7" right="0.7" top="0.75" bottom="0.75" header="0.3" footer="0.3"/>
  <pageSetup paperSize="9" scale="30"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F7FE4-7120-4E22-9C51-365EABF7F528}">
  <sheetPr>
    <tabColor rgb="FF00B0F0"/>
  </sheetPr>
  <dimension ref="A1:P80"/>
  <sheetViews>
    <sheetView view="pageBreakPreview" topLeftCell="B1" zoomScale="60" zoomScaleNormal="80" workbookViewId="0">
      <pane xSplit="3" ySplit="7" topLeftCell="E26" activePane="bottomRight" state="frozen"/>
      <selection activeCell="B1" sqref="B1"/>
      <selection pane="topRight" activeCell="D1" sqref="D1"/>
      <selection pane="bottomLeft" activeCell="B8" sqref="B8"/>
      <selection pane="bottomRight" activeCell="U29" sqref="U29"/>
    </sheetView>
  </sheetViews>
  <sheetFormatPr defaultColWidth="9.1796875" defaultRowHeight="14" x14ac:dyDescent="0.35"/>
  <cols>
    <col min="1" max="1" width="13.81640625" style="11" hidden="1" customWidth="1"/>
    <col min="2" max="2" width="17.1796875" style="11" customWidth="1"/>
    <col min="3" max="3" width="7.81640625" style="11" customWidth="1"/>
    <col min="4" max="4" width="19" style="11" customWidth="1"/>
    <col min="5" max="5" width="35.54296875" style="11" customWidth="1"/>
    <col min="6" max="6" width="17.26953125" style="11" customWidth="1"/>
    <col min="7" max="7" width="11.54296875" style="11" customWidth="1"/>
    <col min="8" max="8" width="16.81640625" style="11" customWidth="1"/>
    <col min="9" max="10" width="14.1796875" style="11" customWidth="1"/>
    <col min="11" max="11" width="21" style="11" customWidth="1"/>
    <col min="12" max="13" width="14.26953125" style="11" customWidth="1"/>
    <col min="14" max="14" width="14.54296875" style="11" customWidth="1"/>
    <col min="15" max="15" width="14.1796875" style="11" customWidth="1"/>
    <col min="16" max="16" width="40.81640625" style="11" customWidth="1"/>
    <col min="17" max="17" width="10" style="11" bestFit="1" customWidth="1"/>
    <col min="18" max="16384" width="9.1796875" style="11"/>
  </cols>
  <sheetData>
    <row r="1" spans="1:16" ht="14.5" x14ac:dyDescent="0.35">
      <c r="C1" s="69"/>
      <c r="D1" s="69"/>
      <c r="E1" s="69"/>
      <c r="F1" s="69"/>
      <c r="G1" s="69"/>
      <c r="H1" s="69"/>
      <c r="I1" s="69"/>
      <c r="J1" s="179"/>
      <c r="K1" s="179"/>
      <c r="L1" s="179"/>
      <c r="M1" s="179"/>
      <c r="N1" s="179"/>
      <c r="O1" s="69"/>
      <c r="P1" s="70"/>
    </row>
    <row r="2" spans="1:16" ht="15" customHeight="1" x14ac:dyDescent="0.35">
      <c r="B2" s="793" t="s">
        <v>93</v>
      </c>
      <c r="C2" s="793"/>
      <c r="D2" s="793"/>
      <c r="E2" s="8"/>
      <c r="F2" s="8"/>
      <c r="G2" s="8"/>
      <c r="H2" s="8"/>
      <c r="I2" s="8"/>
      <c r="J2" s="147"/>
      <c r="K2" s="147"/>
      <c r="L2" s="147"/>
      <c r="M2" s="147"/>
      <c r="N2" s="147"/>
      <c r="O2" s="8"/>
      <c r="P2" s="135"/>
    </row>
    <row r="3" spans="1:16" ht="15.5" x14ac:dyDescent="0.35">
      <c r="B3" s="8"/>
      <c r="C3" s="8"/>
      <c r="D3" s="8"/>
      <c r="E3" s="8"/>
      <c r="F3" s="8"/>
      <c r="G3" s="8"/>
      <c r="H3" s="8"/>
      <c r="I3" s="8"/>
      <c r="J3" s="147"/>
      <c r="K3" s="147"/>
      <c r="L3" s="505"/>
      <c r="M3" s="505"/>
      <c r="N3" s="147"/>
      <c r="O3" s="8"/>
      <c r="P3" s="9"/>
    </row>
    <row r="4" spans="1:16" ht="36.75" customHeight="1" x14ac:dyDescent="0.35">
      <c r="B4" s="8"/>
      <c r="C4" s="8"/>
      <c r="D4" s="794" t="s">
        <v>9</v>
      </c>
      <c r="E4" s="794"/>
      <c r="F4" s="794"/>
      <c r="G4" s="794"/>
      <c r="H4" s="795"/>
      <c r="I4" s="796"/>
      <c r="J4" s="796"/>
      <c r="K4" s="796"/>
      <c r="L4" s="796"/>
      <c r="M4" s="796"/>
      <c r="N4" s="796"/>
      <c r="O4" s="796"/>
      <c r="P4" s="797"/>
    </row>
    <row r="5" spans="1:16" ht="35.25" customHeight="1" x14ac:dyDescent="0.35">
      <c r="B5" s="600" t="s">
        <v>48</v>
      </c>
      <c r="C5" s="600"/>
      <c r="D5" s="600"/>
      <c r="E5" s="600"/>
      <c r="F5" s="600"/>
      <c r="G5" s="600"/>
      <c r="H5" s="600"/>
      <c r="I5" s="593" t="s">
        <v>9</v>
      </c>
      <c r="J5" s="594"/>
      <c r="K5" s="594"/>
      <c r="L5" s="594"/>
      <c r="M5" s="594"/>
      <c r="N5" s="594"/>
      <c r="O5" s="594"/>
      <c r="P5" s="595"/>
    </row>
    <row r="6" spans="1:16" ht="43.5" customHeight="1" x14ac:dyDescent="0.35">
      <c r="B6" s="596" t="s">
        <v>950</v>
      </c>
      <c r="C6" s="596"/>
      <c r="D6" s="596" t="s">
        <v>10</v>
      </c>
      <c r="E6" s="596" t="s">
        <v>46</v>
      </c>
      <c r="F6" s="596" t="s">
        <v>951</v>
      </c>
      <c r="G6" s="596" t="s">
        <v>11</v>
      </c>
      <c r="H6" s="596" t="s">
        <v>12</v>
      </c>
      <c r="I6" s="593" t="s">
        <v>946</v>
      </c>
      <c r="J6" s="594"/>
      <c r="K6" s="594"/>
      <c r="L6" s="595"/>
      <c r="M6" s="593" t="s">
        <v>948</v>
      </c>
      <c r="N6" s="594"/>
      <c r="O6" s="595"/>
      <c r="P6" s="604" t="s">
        <v>947</v>
      </c>
    </row>
    <row r="7" spans="1:16" ht="67.5" customHeight="1" x14ac:dyDescent="0.35">
      <c r="A7" s="68" t="s">
        <v>425</v>
      </c>
      <c r="B7" s="597"/>
      <c r="C7" s="597"/>
      <c r="D7" s="597"/>
      <c r="E7" s="597"/>
      <c r="F7" s="597"/>
      <c r="G7" s="597"/>
      <c r="H7" s="597"/>
      <c r="I7" s="144" t="s">
        <v>14</v>
      </c>
      <c r="J7" s="144" t="s">
        <v>15</v>
      </c>
      <c r="K7" s="144" t="s">
        <v>16</v>
      </c>
      <c r="L7" s="144" t="s">
        <v>17</v>
      </c>
      <c r="M7" s="144" t="s">
        <v>952</v>
      </c>
      <c r="N7" s="144" t="s">
        <v>953</v>
      </c>
      <c r="O7" s="144" t="s">
        <v>954</v>
      </c>
      <c r="P7" s="597"/>
    </row>
    <row r="8" spans="1:16" ht="25.5" customHeight="1" x14ac:dyDescent="0.35">
      <c r="A8" s="68"/>
      <c r="B8" s="798" t="s">
        <v>18</v>
      </c>
      <c r="C8" s="575"/>
      <c r="D8" s="576"/>
      <c r="E8" s="14"/>
      <c r="F8" s="14"/>
      <c r="G8" s="14"/>
      <c r="H8" s="32">
        <f>SUM(H9:H41)</f>
        <v>389130</v>
      </c>
      <c r="I8" s="14"/>
      <c r="J8" s="14"/>
      <c r="K8" s="14"/>
      <c r="L8" s="32">
        <f>SUM(L9:L41)</f>
        <v>316606.81999999995</v>
      </c>
      <c r="M8" s="32"/>
      <c r="N8" s="32">
        <f>SUM(N9:N41)</f>
        <v>306607.37999999995</v>
      </c>
      <c r="O8" s="32">
        <f>SUM(O9:O41)</f>
        <v>9999.44</v>
      </c>
      <c r="P8" s="14"/>
    </row>
    <row r="9" spans="1:16" ht="30" customHeight="1" x14ac:dyDescent="0.35">
      <c r="A9" s="68" t="s">
        <v>426</v>
      </c>
      <c r="B9" s="539" t="s">
        <v>1130</v>
      </c>
      <c r="C9" s="506">
        <v>1</v>
      </c>
      <c r="D9" s="248" t="s">
        <v>94</v>
      </c>
      <c r="E9" s="507" t="s">
        <v>95</v>
      </c>
      <c r="F9" s="226" t="s">
        <v>981</v>
      </c>
      <c r="G9" s="508">
        <v>1</v>
      </c>
      <c r="H9" s="509">
        <v>800</v>
      </c>
      <c r="I9" s="510" t="s">
        <v>96</v>
      </c>
      <c r="J9" s="510" t="s">
        <v>97</v>
      </c>
      <c r="K9" s="510" t="s">
        <v>98</v>
      </c>
      <c r="L9" s="511">
        <v>423.5</v>
      </c>
      <c r="M9" s="511">
        <v>288</v>
      </c>
      <c r="N9" s="511">
        <v>423.5</v>
      </c>
      <c r="O9" s="512"/>
      <c r="P9" s="512" t="s">
        <v>998</v>
      </c>
    </row>
    <row r="10" spans="1:16" ht="46.5" x14ac:dyDescent="0.35">
      <c r="A10" s="68" t="s">
        <v>427</v>
      </c>
      <c r="B10" s="540" t="s">
        <v>1139</v>
      </c>
      <c r="C10" s="749">
        <v>2</v>
      </c>
      <c r="D10" s="119" t="s">
        <v>94</v>
      </c>
      <c r="E10" s="513" t="s">
        <v>99</v>
      </c>
      <c r="F10" s="786" t="s">
        <v>981</v>
      </c>
      <c r="G10" s="799">
        <v>3</v>
      </c>
      <c r="H10" s="803">
        <v>900</v>
      </c>
      <c r="I10" s="514">
        <v>391364978</v>
      </c>
      <c r="J10" s="514" t="s">
        <v>688</v>
      </c>
      <c r="K10" s="514" t="s">
        <v>101</v>
      </c>
      <c r="L10" s="515">
        <v>71.88</v>
      </c>
      <c r="M10" s="515">
        <v>374</v>
      </c>
      <c r="N10" s="515">
        <v>71.88</v>
      </c>
      <c r="O10" s="516"/>
      <c r="P10" s="516" t="s">
        <v>982</v>
      </c>
    </row>
    <row r="11" spans="1:16" ht="46.5" x14ac:dyDescent="0.35">
      <c r="A11" s="68"/>
      <c r="B11" s="541"/>
      <c r="C11" s="802"/>
      <c r="D11" s="39" t="s">
        <v>94</v>
      </c>
      <c r="E11" s="517" t="s">
        <v>99</v>
      </c>
      <c r="F11" s="806"/>
      <c r="G11" s="800"/>
      <c r="H11" s="804"/>
      <c r="I11" s="518">
        <v>390917974</v>
      </c>
      <c r="J11" s="518" t="s">
        <v>100</v>
      </c>
      <c r="K11" s="518" t="s">
        <v>101</v>
      </c>
      <c r="L11" s="519">
        <v>209.66</v>
      </c>
      <c r="M11" s="519">
        <v>3978</v>
      </c>
      <c r="N11" s="519">
        <v>209.66</v>
      </c>
      <c r="O11" s="520"/>
      <c r="P11" s="520" t="s">
        <v>982</v>
      </c>
    </row>
    <row r="12" spans="1:16" ht="46.5" x14ac:dyDescent="0.35">
      <c r="A12" s="68"/>
      <c r="B12" s="541"/>
      <c r="C12" s="747"/>
      <c r="D12" s="39" t="s">
        <v>94</v>
      </c>
      <c r="E12" s="517" t="s">
        <v>99</v>
      </c>
      <c r="F12" s="787"/>
      <c r="G12" s="801"/>
      <c r="H12" s="805"/>
      <c r="I12" s="518">
        <v>390654048</v>
      </c>
      <c r="J12" s="518" t="s">
        <v>100</v>
      </c>
      <c r="K12" s="518" t="s">
        <v>101</v>
      </c>
      <c r="L12" s="519">
        <v>578.48</v>
      </c>
      <c r="M12" s="519">
        <v>3978</v>
      </c>
      <c r="N12" s="519">
        <v>578.48</v>
      </c>
      <c r="O12" s="520"/>
      <c r="P12" s="520" t="s">
        <v>982</v>
      </c>
    </row>
    <row r="13" spans="1:16" ht="46.5" x14ac:dyDescent="0.35">
      <c r="A13" s="68"/>
      <c r="B13" s="513" t="s">
        <v>99</v>
      </c>
      <c r="C13" s="119"/>
      <c r="D13" s="119" t="s">
        <v>94</v>
      </c>
      <c r="E13" s="513" t="s">
        <v>99</v>
      </c>
      <c r="F13" s="213" t="s">
        <v>981</v>
      </c>
      <c r="G13" s="521"/>
      <c r="H13" s="522"/>
      <c r="I13" s="514">
        <v>391246114</v>
      </c>
      <c r="J13" s="514" t="s">
        <v>689</v>
      </c>
      <c r="K13" s="514" t="s">
        <v>101</v>
      </c>
      <c r="L13" s="515">
        <v>43.64</v>
      </c>
      <c r="M13" s="515">
        <v>216</v>
      </c>
      <c r="N13" s="515">
        <v>43.64</v>
      </c>
      <c r="O13" s="516"/>
      <c r="P13" s="516" t="s">
        <v>982</v>
      </c>
    </row>
    <row r="14" spans="1:16" ht="46.5" x14ac:dyDescent="0.35">
      <c r="A14" s="68" t="s">
        <v>428</v>
      </c>
      <c r="B14" s="540" t="s">
        <v>1133</v>
      </c>
      <c r="C14" s="119">
        <f>C10+1</f>
        <v>3</v>
      </c>
      <c r="D14" s="119" t="s">
        <v>94</v>
      </c>
      <c r="E14" s="513" t="s">
        <v>102</v>
      </c>
      <c r="F14" s="213" t="s">
        <v>981</v>
      </c>
      <c r="G14" s="521">
        <v>1</v>
      </c>
      <c r="H14" s="522">
        <v>200</v>
      </c>
      <c r="I14" s="514" t="s">
        <v>429</v>
      </c>
      <c r="J14" s="514" t="s">
        <v>430</v>
      </c>
      <c r="K14" s="514" t="s">
        <v>431</v>
      </c>
      <c r="L14" s="515">
        <v>260</v>
      </c>
      <c r="M14" s="515">
        <v>380</v>
      </c>
      <c r="N14" s="523">
        <v>260</v>
      </c>
      <c r="O14" s="524"/>
      <c r="P14" s="524" t="s">
        <v>983</v>
      </c>
    </row>
    <row r="15" spans="1:16" ht="46.5" x14ac:dyDescent="0.35">
      <c r="A15" s="68" t="s">
        <v>432</v>
      </c>
      <c r="B15" s="542" t="s">
        <v>1131</v>
      </c>
      <c r="C15" s="248">
        <f t="shared" ref="C15:C41" si="0">C14+1</f>
        <v>4</v>
      </c>
      <c r="D15" s="248" t="s">
        <v>94</v>
      </c>
      <c r="E15" s="507" t="s">
        <v>103</v>
      </c>
      <c r="F15" s="226" t="s">
        <v>981</v>
      </c>
      <c r="G15" s="508">
        <v>1000</v>
      </c>
      <c r="H15" s="509">
        <v>1000</v>
      </c>
      <c r="I15" s="510" t="s">
        <v>104</v>
      </c>
      <c r="J15" s="510" t="s">
        <v>43</v>
      </c>
      <c r="K15" s="510" t="s">
        <v>105</v>
      </c>
      <c r="L15" s="511">
        <v>490.05</v>
      </c>
      <c r="M15" s="511">
        <v>195</v>
      </c>
      <c r="N15" s="511">
        <v>490.05</v>
      </c>
      <c r="O15" s="525"/>
      <c r="P15" s="512" t="s">
        <v>998</v>
      </c>
    </row>
    <row r="16" spans="1:16" ht="46.5" x14ac:dyDescent="0.35">
      <c r="A16" s="68" t="s">
        <v>433</v>
      </c>
      <c r="B16" s="507" t="s">
        <v>1132</v>
      </c>
      <c r="C16" s="248">
        <f t="shared" si="0"/>
        <v>5</v>
      </c>
      <c r="D16" s="248" t="s">
        <v>94</v>
      </c>
      <c r="E16" s="507" t="s">
        <v>106</v>
      </c>
      <c r="F16" s="226" t="s">
        <v>981</v>
      </c>
      <c r="G16" s="508">
        <v>10</v>
      </c>
      <c r="H16" s="509">
        <v>300</v>
      </c>
      <c r="I16" s="510" t="s">
        <v>107</v>
      </c>
      <c r="J16" s="510" t="s">
        <v>108</v>
      </c>
      <c r="K16" s="510" t="s">
        <v>109</v>
      </c>
      <c r="L16" s="511">
        <v>324.27999999999997</v>
      </c>
      <c r="M16" s="511">
        <v>287</v>
      </c>
      <c r="N16" s="511">
        <v>324.27999999999997</v>
      </c>
      <c r="O16" s="525"/>
      <c r="P16" s="512" t="s">
        <v>998</v>
      </c>
    </row>
    <row r="17" spans="1:16" ht="46.5" x14ac:dyDescent="0.35">
      <c r="A17" s="68" t="s">
        <v>434</v>
      </c>
      <c r="B17" s="543"/>
      <c r="C17" s="241">
        <f t="shared" si="0"/>
        <v>6</v>
      </c>
      <c r="D17" s="241" t="s">
        <v>94</v>
      </c>
      <c r="E17" s="526" t="s">
        <v>110</v>
      </c>
      <c r="F17" s="24" t="s">
        <v>981</v>
      </c>
      <c r="G17" s="527">
        <v>50</v>
      </c>
      <c r="H17" s="528">
        <v>750</v>
      </c>
      <c r="I17" s="241"/>
      <c r="J17" s="241"/>
      <c r="K17" s="241"/>
      <c r="L17" s="529"/>
      <c r="M17" s="529"/>
      <c r="N17" s="530"/>
      <c r="O17" s="241"/>
      <c r="P17" s="531"/>
    </row>
    <row r="18" spans="1:16" ht="46.5" x14ac:dyDescent="0.35">
      <c r="A18" s="68" t="s">
        <v>435</v>
      </c>
      <c r="B18" s="513" t="s">
        <v>111</v>
      </c>
      <c r="C18" s="119">
        <f t="shared" si="0"/>
        <v>7</v>
      </c>
      <c r="D18" s="119" t="s">
        <v>94</v>
      </c>
      <c r="E18" s="513" t="s">
        <v>111</v>
      </c>
      <c r="F18" s="213" t="s">
        <v>981</v>
      </c>
      <c r="G18" s="521">
        <v>2</v>
      </c>
      <c r="H18" s="522">
        <v>2400</v>
      </c>
      <c r="I18" s="514" t="s">
        <v>497</v>
      </c>
      <c r="J18" s="514" t="s">
        <v>498</v>
      </c>
      <c r="K18" s="514" t="s">
        <v>463</v>
      </c>
      <c r="L18" s="515">
        <v>1524.6</v>
      </c>
      <c r="M18" s="515">
        <v>831</v>
      </c>
      <c r="N18" s="532">
        <v>1524.6</v>
      </c>
      <c r="O18" s="514"/>
      <c r="P18" s="533" t="s">
        <v>986</v>
      </c>
    </row>
    <row r="19" spans="1:16" ht="46.5" x14ac:dyDescent="0.35">
      <c r="A19" s="68" t="s">
        <v>436</v>
      </c>
      <c r="B19" s="540" t="s">
        <v>1066</v>
      </c>
      <c r="C19" s="119">
        <f t="shared" si="0"/>
        <v>8</v>
      </c>
      <c r="D19" s="119" t="s">
        <v>94</v>
      </c>
      <c r="E19" s="513" t="s">
        <v>437</v>
      </c>
      <c r="F19" s="213" t="s">
        <v>981</v>
      </c>
      <c r="G19" s="521">
        <v>2</v>
      </c>
      <c r="H19" s="522">
        <v>54000</v>
      </c>
      <c r="I19" s="514" t="s">
        <v>438</v>
      </c>
      <c r="J19" s="514" t="s">
        <v>439</v>
      </c>
      <c r="K19" s="514" t="s">
        <v>440</v>
      </c>
      <c r="L19" s="515">
        <v>45980</v>
      </c>
      <c r="M19" s="515">
        <v>626</v>
      </c>
      <c r="N19" s="532">
        <v>45980</v>
      </c>
      <c r="O19" s="514"/>
      <c r="P19" s="533" t="s">
        <v>985</v>
      </c>
    </row>
    <row r="20" spans="1:16" ht="62" x14ac:dyDescent="0.35">
      <c r="A20" s="68" t="s">
        <v>441</v>
      </c>
      <c r="B20" s="513" t="s">
        <v>1134</v>
      </c>
      <c r="C20" s="119">
        <f t="shared" si="0"/>
        <v>9</v>
      </c>
      <c r="D20" s="119" t="s">
        <v>94</v>
      </c>
      <c r="E20" s="513" t="s">
        <v>112</v>
      </c>
      <c r="F20" s="213" t="s">
        <v>981</v>
      </c>
      <c r="G20" s="521">
        <v>1</v>
      </c>
      <c r="H20" s="522">
        <v>22000</v>
      </c>
      <c r="I20" s="514" t="s">
        <v>442</v>
      </c>
      <c r="J20" s="514" t="s">
        <v>314</v>
      </c>
      <c r="K20" s="514" t="s">
        <v>443</v>
      </c>
      <c r="L20" s="515">
        <v>18500</v>
      </c>
      <c r="M20" s="515">
        <v>833</v>
      </c>
      <c r="N20" s="532">
        <v>18500</v>
      </c>
      <c r="O20" s="514"/>
      <c r="P20" s="516" t="s">
        <v>984</v>
      </c>
    </row>
    <row r="21" spans="1:16" ht="46.5" x14ac:dyDescent="0.35">
      <c r="A21" s="68" t="s">
        <v>444</v>
      </c>
      <c r="B21" s="540" t="s">
        <v>1048</v>
      </c>
      <c r="C21" s="119">
        <f t="shared" si="0"/>
        <v>10</v>
      </c>
      <c r="D21" s="119" t="s">
        <v>94</v>
      </c>
      <c r="E21" s="513" t="s">
        <v>113</v>
      </c>
      <c r="F21" s="213" t="s">
        <v>981</v>
      </c>
      <c r="G21" s="521">
        <v>8</v>
      </c>
      <c r="H21" s="522">
        <v>32000</v>
      </c>
      <c r="I21" s="514" t="s">
        <v>500</v>
      </c>
      <c r="J21" s="514" t="s">
        <v>485</v>
      </c>
      <c r="K21" s="514" t="s">
        <v>440</v>
      </c>
      <c r="L21" s="515">
        <v>30492</v>
      </c>
      <c r="M21" s="515">
        <v>890</v>
      </c>
      <c r="N21" s="532">
        <v>30492</v>
      </c>
      <c r="O21" s="514"/>
      <c r="P21" s="533" t="s">
        <v>499</v>
      </c>
    </row>
    <row r="22" spans="1:16" ht="46.5" x14ac:dyDescent="0.35">
      <c r="A22" s="68" t="s">
        <v>445</v>
      </c>
      <c r="B22" s="540" t="s">
        <v>189</v>
      </c>
      <c r="C22" s="119">
        <f t="shared" si="0"/>
        <v>11</v>
      </c>
      <c r="D22" s="119" t="s">
        <v>94</v>
      </c>
      <c r="E22" s="513" t="s">
        <v>114</v>
      </c>
      <c r="F22" s="213" t="s">
        <v>981</v>
      </c>
      <c r="G22" s="521">
        <v>2</v>
      </c>
      <c r="H22" s="522">
        <v>10000</v>
      </c>
      <c r="I22" s="514" t="s">
        <v>501</v>
      </c>
      <c r="J22" s="514" t="s">
        <v>502</v>
      </c>
      <c r="K22" s="514" t="s">
        <v>443</v>
      </c>
      <c r="L22" s="532">
        <v>9999.44</v>
      </c>
      <c r="M22" s="532"/>
      <c r="N22" s="532"/>
      <c r="O22" s="514">
        <v>9999.44</v>
      </c>
      <c r="P22" s="516" t="s">
        <v>503</v>
      </c>
    </row>
    <row r="23" spans="1:16" ht="46.5" x14ac:dyDescent="0.35">
      <c r="A23" s="68" t="s">
        <v>446</v>
      </c>
      <c r="B23" s="513" t="s">
        <v>1142</v>
      </c>
      <c r="C23" s="119">
        <f t="shared" si="0"/>
        <v>12</v>
      </c>
      <c r="D23" s="119" t="s">
        <v>94</v>
      </c>
      <c r="E23" s="513" t="s">
        <v>115</v>
      </c>
      <c r="F23" s="213" t="s">
        <v>981</v>
      </c>
      <c r="G23" s="521">
        <v>24</v>
      </c>
      <c r="H23" s="522">
        <v>28800</v>
      </c>
      <c r="I23" s="514" t="s">
        <v>686</v>
      </c>
      <c r="J23" s="514" t="s">
        <v>687</v>
      </c>
      <c r="K23" s="514" t="s">
        <v>440</v>
      </c>
      <c r="L23" s="515">
        <v>21600</v>
      </c>
      <c r="M23" s="515">
        <v>1241</v>
      </c>
      <c r="N23" s="532">
        <v>21600</v>
      </c>
      <c r="O23" s="514"/>
      <c r="P23" s="516" t="s">
        <v>987</v>
      </c>
    </row>
    <row r="24" spans="1:16" ht="46.5" x14ac:dyDescent="0.35">
      <c r="A24" s="68" t="s">
        <v>447</v>
      </c>
      <c r="B24" s="513" t="s">
        <v>116</v>
      </c>
      <c r="C24" s="119">
        <f t="shared" si="0"/>
        <v>13</v>
      </c>
      <c r="D24" s="119" t="s">
        <v>94</v>
      </c>
      <c r="E24" s="513" t="s">
        <v>116</v>
      </c>
      <c r="F24" s="213" t="s">
        <v>981</v>
      </c>
      <c r="G24" s="521">
        <v>14</v>
      </c>
      <c r="H24" s="522">
        <v>16800</v>
      </c>
      <c r="I24" s="514" t="s">
        <v>448</v>
      </c>
      <c r="J24" s="514" t="s">
        <v>449</v>
      </c>
      <c r="K24" s="514" t="s">
        <v>450</v>
      </c>
      <c r="L24" s="515">
        <v>13986</v>
      </c>
      <c r="M24" s="515">
        <v>621</v>
      </c>
      <c r="N24" s="532">
        <v>13986</v>
      </c>
      <c r="O24" s="514"/>
      <c r="P24" s="516" t="s">
        <v>988</v>
      </c>
    </row>
    <row r="25" spans="1:16" ht="46.5" x14ac:dyDescent="0.35">
      <c r="A25" s="68" t="s">
        <v>451</v>
      </c>
      <c r="B25" s="513" t="s">
        <v>117</v>
      </c>
      <c r="C25" s="119">
        <f t="shared" si="0"/>
        <v>14</v>
      </c>
      <c r="D25" s="119" t="s">
        <v>94</v>
      </c>
      <c r="E25" s="513" t="s">
        <v>117</v>
      </c>
      <c r="F25" s="213" t="s">
        <v>981</v>
      </c>
      <c r="G25" s="521">
        <v>3</v>
      </c>
      <c r="H25" s="522">
        <v>3600</v>
      </c>
      <c r="I25" s="514" t="s">
        <v>448</v>
      </c>
      <c r="J25" s="514" t="s">
        <v>449</v>
      </c>
      <c r="K25" s="514" t="s">
        <v>450</v>
      </c>
      <c r="L25" s="515">
        <v>2997</v>
      </c>
      <c r="M25" s="515">
        <v>621</v>
      </c>
      <c r="N25" s="532">
        <v>2997</v>
      </c>
      <c r="O25" s="514"/>
      <c r="P25" s="516" t="s">
        <v>514</v>
      </c>
    </row>
    <row r="26" spans="1:16" ht="46.5" x14ac:dyDescent="0.35">
      <c r="A26" s="68" t="s">
        <v>452</v>
      </c>
      <c r="B26" s="513" t="s">
        <v>117</v>
      </c>
      <c r="C26" s="119"/>
      <c r="D26" s="119" t="s">
        <v>94</v>
      </c>
      <c r="E26" s="513" t="s">
        <v>117</v>
      </c>
      <c r="F26" s="213" t="s">
        <v>981</v>
      </c>
      <c r="G26" s="521">
        <v>3</v>
      </c>
      <c r="H26" s="522">
        <v>3600</v>
      </c>
      <c r="I26" s="514" t="s">
        <v>686</v>
      </c>
      <c r="J26" s="514" t="s">
        <v>687</v>
      </c>
      <c r="K26" s="514" t="s">
        <v>440</v>
      </c>
      <c r="L26" s="515">
        <v>2700</v>
      </c>
      <c r="M26" s="515">
        <v>1241</v>
      </c>
      <c r="N26" s="532">
        <v>2700</v>
      </c>
      <c r="O26" s="514"/>
      <c r="P26" s="516" t="s">
        <v>987</v>
      </c>
    </row>
    <row r="27" spans="1:16" ht="46.5" x14ac:dyDescent="0.35">
      <c r="A27" s="68" t="s">
        <v>453</v>
      </c>
      <c r="B27" s="513" t="s">
        <v>118</v>
      </c>
      <c r="C27" s="119">
        <v>15</v>
      </c>
      <c r="D27" s="119" t="s">
        <v>94</v>
      </c>
      <c r="E27" s="513" t="s">
        <v>118</v>
      </c>
      <c r="F27" s="213" t="s">
        <v>981</v>
      </c>
      <c r="G27" s="521">
        <v>30</v>
      </c>
      <c r="H27" s="522">
        <v>1500</v>
      </c>
      <c r="I27" s="514" t="s">
        <v>504</v>
      </c>
      <c r="J27" s="514" t="s">
        <v>505</v>
      </c>
      <c r="K27" s="514" t="s">
        <v>460</v>
      </c>
      <c r="L27" s="515">
        <v>1290</v>
      </c>
      <c r="M27" s="515">
        <v>880</v>
      </c>
      <c r="N27" s="532">
        <v>1290</v>
      </c>
      <c r="O27" s="514"/>
      <c r="P27" s="516" t="s">
        <v>989</v>
      </c>
    </row>
    <row r="28" spans="1:16" ht="46.5" x14ac:dyDescent="0.35">
      <c r="A28" s="68" t="s">
        <v>454</v>
      </c>
      <c r="B28" s="513" t="s">
        <v>24</v>
      </c>
      <c r="C28" s="119">
        <f t="shared" si="0"/>
        <v>16</v>
      </c>
      <c r="D28" s="119" t="s">
        <v>94</v>
      </c>
      <c r="E28" s="513" t="s">
        <v>24</v>
      </c>
      <c r="F28" s="213" t="s">
        <v>981</v>
      </c>
      <c r="G28" s="521">
        <v>12</v>
      </c>
      <c r="H28" s="522">
        <v>2880</v>
      </c>
      <c r="I28" s="514" t="s">
        <v>455</v>
      </c>
      <c r="J28" s="514" t="s">
        <v>456</v>
      </c>
      <c r="K28" s="514" t="s">
        <v>457</v>
      </c>
      <c r="L28" s="515">
        <v>290.39999999999998</v>
      </c>
      <c r="M28" s="515">
        <v>561</v>
      </c>
      <c r="N28" s="532">
        <v>290.39999999999998</v>
      </c>
      <c r="O28" s="514"/>
      <c r="P28" s="534" t="s">
        <v>506</v>
      </c>
    </row>
    <row r="29" spans="1:16" ht="46.5" x14ac:dyDescent="0.35">
      <c r="A29" s="68" t="s">
        <v>458</v>
      </c>
      <c r="B29" s="513" t="s">
        <v>119</v>
      </c>
      <c r="C29" s="119">
        <f t="shared" si="0"/>
        <v>17</v>
      </c>
      <c r="D29" s="119" t="s">
        <v>94</v>
      </c>
      <c r="E29" s="513" t="s">
        <v>119</v>
      </c>
      <c r="F29" s="213" t="s">
        <v>981</v>
      </c>
      <c r="G29" s="521">
        <v>2</v>
      </c>
      <c r="H29" s="522">
        <v>1400</v>
      </c>
      <c r="I29" s="514" t="s">
        <v>459</v>
      </c>
      <c r="J29" s="514" t="s">
        <v>294</v>
      </c>
      <c r="K29" s="514" t="s">
        <v>460</v>
      </c>
      <c r="L29" s="515">
        <v>1280</v>
      </c>
      <c r="M29" s="515">
        <v>622</v>
      </c>
      <c r="N29" s="532">
        <v>1280</v>
      </c>
      <c r="O29" s="514"/>
      <c r="P29" s="516" t="s">
        <v>515</v>
      </c>
    </row>
    <row r="30" spans="1:16" ht="46.5" x14ac:dyDescent="0.35">
      <c r="A30" s="68" t="s">
        <v>461</v>
      </c>
      <c r="B30" s="540" t="s">
        <v>164</v>
      </c>
      <c r="C30" s="119">
        <f t="shared" si="0"/>
        <v>18</v>
      </c>
      <c r="D30" s="119" t="s">
        <v>94</v>
      </c>
      <c r="E30" s="513" t="s">
        <v>120</v>
      </c>
      <c r="F30" s="213" t="s">
        <v>981</v>
      </c>
      <c r="G30" s="521">
        <v>1</v>
      </c>
      <c r="H30" s="522">
        <v>3300</v>
      </c>
      <c r="I30" s="514" t="s">
        <v>462</v>
      </c>
      <c r="J30" s="514" t="s">
        <v>372</v>
      </c>
      <c r="K30" s="514" t="s">
        <v>463</v>
      </c>
      <c r="L30" s="515">
        <v>3298</v>
      </c>
      <c r="M30" s="515">
        <v>619</v>
      </c>
      <c r="N30" s="532">
        <v>3298</v>
      </c>
      <c r="O30" s="514"/>
      <c r="P30" s="516" t="s">
        <v>990</v>
      </c>
    </row>
    <row r="31" spans="1:16" ht="46.5" x14ac:dyDescent="0.35">
      <c r="A31" s="68" t="s">
        <v>464</v>
      </c>
      <c r="B31" s="540" t="s">
        <v>1135</v>
      </c>
      <c r="C31" s="119">
        <f t="shared" si="0"/>
        <v>19</v>
      </c>
      <c r="D31" s="119" t="s">
        <v>94</v>
      </c>
      <c r="E31" s="513" t="s">
        <v>71</v>
      </c>
      <c r="F31" s="213" t="s">
        <v>981</v>
      </c>
      <c r="G31" s="521">
        <v>1</v>
      </c>
      <c r="H31" s="522">
        <v>30000</v>
      </c>
      <c r="I31" s="514" t="s">
        <v>465</v>
      </c>
      <c r="J31" s="514" t="s">
        <v>294</v>
      </c>
      <c r="K31" s="514" t="s">
        <v>466</v>
      </c>
      <c r="L31" s="515">
        <v>29017.01</v>
      </c>
      <c r="M31" s="515">
        <v>627</v>
      </c>
      <c r="N31" s="532">
        <v>29017.01</v>
      </c>
      <c r="O31" s="514"/>
      <c r="P31" s="534" t="s">
        <v>507</v>
      </c>
    </row>
    <row r="32" spans="1:16" ht="46.5" x14ac:dyDescent="0.35">
      <c r="A32" s="68" t="s">
        <v>467</v>
      </c>
      <c r="B32" s="513" t="s">
        <v>1141</v>
      </c>
      <c r="C32" s="119">
        <f t="shared" si="0"/>
        <v>20</v>
      </c>
      <c r="D32" s="119" t="s">
        <v>94</v>
      </c>
      <c r="E32" s="513" t="s">
        <v>121</v>
      </c>
      <c r="F32" s="213" t="s">
        <v>981</v>
      </c>
      <c r="G32" s="521">
        <v>1</v>
      </c>
      <c r="H32" s="522">
        <v>100000</v>
      </c>
      <c r="I32" s="514">
        <v>1063017109</v>
      </c>
      <c r="J32" s="514" t="s">
        <v>508</v>
      </c>
      <c r="K32" s="514" t="s">
        <v>473</v>
      </c>
      <c r="L32" s="515">
        <v>78674.2</v>
      </c>
      <c r="M32" s="515">
        <v>889</v>
      </c>
      <c r="N32" s="532">
        <v>78674.2</v>
      </c>
      <c r="O32" s="514"/>
      <c r="P32" s="516" t="s">
        <v>991</v>
      </c>
    </row>
    <row r="33" spans="1:16" ht="46.5" x14ac:dyDescent="0.35">
      <c r="A33" s="68" t="s">
        <v>468</v>
      </c>
      <c r="B33" s="540" t="s">
        <v>1136</v>
      </c>
      <c r="C33" s="119">
        <f t="shared" si="0"/>
        <v>21</v>
      </c>
      <c r="D33" s="119" t="s">
        <v>94</v>
      </c>
      <c r="E33" s="513" t="s">
        <v>122</v>
      </c>
      <c r="F33" s="213" t="s">
        <v>981</v>
      </c>
      <c r="G33" s="521">
        <v>50</v>
      </c>
      <c r="H33" s="522">
        <v>3500</v>
      </c>
      <c r="I33" s="514" t="s">
        <v>469</v>
      </c>
      <c r="J33" s="514" t="s">
        <v>456</v>
      </c>
      <c r="K33" s="514" t="s">
        <v>463</v>
      </c>
      <c r="L33" s="515">
        <v>2700</v>
      </c>
      <c r="M33" s="515">
        <v>560</v>
      </c>
      <c r="N33" s="532">
        <v>2700</v>
      </c>
      <c r="O33" s="514"/>
      <c r="P33" s="516" t="s">
        <v>990</v>
      </c>
    </row>
    <row r="34" spans="1:16" ht="46.5" x14ac:dyDescent="0.35">
      <c r="A34" s="68" t="s">
        <v>470</v>
      </c>
      <c r="B34" s="513" t="s">
        <v>123</v>
      </c>
      <c r="C34" s="119">
        <f t="shared" si="0"/>
        <v>22</v>
      </c>
      <c r="D34" s="119" t="s">
        <v>94</v>
      </c>
      <c r="E34" s="513" t="s">
        <v>123</v>
      </c>
      <c r="F34" s="213" t="s">
        <v>981</v>
      </c>
      <c r="G34" s="521">
        <v>2</v>
      </c>
      <c r="H34" s="522">
        <v>3400</v>
      </c>
      <c r="I34" s="514" t="s">
        <v>509</v>
      </c>
      <c r="J34" s="514" t="s">
        <v>510</v>
      </c>
      <c r="K34" s="514" t="s">
        <v>460</v>
      </c>
      <c r="L34" s="515">
        <v>2940</v>
      </c>
      <c r="M34" s="515">
        <v>879</v>
      </c>
      <c r="N34" s="532">
        <v>2940</v>
      </c>
      <c r="O34" s="514"/>
      <c r="P34" s="516" t="s">
        <v>992</v>
      </c>
    </row>
    <row r="35" spans="1:16" ht="62" x14ac:dyDescent="0.35">
      <c r="A35" s="68" t="s">
        <v>471</v>
      </c>
      <c r="B35" s="513" t="s">
        <v>124</v>
      </c>
      <c r="C35" s="119">
        <f t="shared" si="0"/>
        <v>23</v>
      </c>
      <c r="D35" s="119" t="s">
        <v>94</v>
      </c>
      <c r="E35" s="513" t="s">
        <v>124</v>
      </c>
      <c r="F35" s="213" t="s">
        <v>981</v>
      </c>
      <c r="G35" s="521">
        <v>2</v>
      </c>
      <c r="H35" s="522">
        <v>14000</v>
      </c>
      <c r="I35" s="514" t="s">
        <v>472</v>
      </c>
      <c r="J35" s="514" t="s">
        <v>351</v>
      </c>
      <c r="K35" s="514" t="s">
        <v>473</v>
      </c>
      <c r="L35" s="515">
        <v>13399.04</v>
      </c>
      <c r="M35" s="515">
        <v>662.66300000000001</v>
      </c>
      <c r="N35" s="532">
        <v>13399.04</v>
      </c>
      <c r="O35" s="514"/>
      <c r="P35" s="516" t="s">
        <v>993</v>
      </c>
    </row>
    <row r="36" spans="1:16" ht="46.5" x14ac:dyDescent="0.35">
      <c r="A36" s="68" t="s">
        <v>474</v>
      </c>
      <c r="B36" s="540" t="s">
        <v>1138</v>
      </c>
      <c r="C36" s="119">
        <f t="shared" si="0"/>
        <v>24</v>
      </c>
      <c r="D36" s="119" t="s">
        <v>94</v>
      </c>
      <c r="E36" s="513" t="s">
        <v>125</v>
      </c>
      <c r="F36" s="213" t="s">
        <v>981</v>
      </c>
      <c r="G36" s="521">
        <v>1</v>
      </c>
      <c r="H36" s="522">
        <v>2500</v>
      </c>
      <c r="I36" s="514" t="s">
        <v>475</v>
      </c>
      <c r="J36" s="514" t="s">
        <v>456</v>
      </c>
      <c r="K36" s="514" t="s">
        <v>463</v>
      </c>
      <c r="L36" s="515">
        <v>3156</v>
      </c>
      <c r="M36" s="515">
        <v>559</v>
      </c>
      <c r="N36" s="532">
        <v>3156</v>
      </c>
      <c r="O36" s="514"/>
      <c r="P36" s="516" t="s">
        <v>994</v>
      </c>
    </row>
    <row r="37" spans="1:16" ht="46.5" x14ac:dyDescent="0.35">
      <c r="A37" s="68" t="s">
        <v>476</v>
      </c>
      <c r="B37" s="540" t="s">
        <v>1137</v>
      </c>
      <c r="C37" s="119">
        <f t="shared" si="0"/>
        <v>25</v>
      </c>
      <c r="D37" s="119" t="s">
        <v>94</v>
      </c>
      <c r="E37" s="535" t="s">
        <v>126</v>
      </c>
      <c r="F37" s="213" t="s">
        <v>981</v>
      </c>
      <c r="G37" s="521">
        <v>1</v>
      </c>
      <c r="H37" s="522">
        <v>15000</v>
      </c>
      <c r="I37" s="514" t="s">
        <v>475</v>
      </c>
      <c r="J37" s="514" t="s">
        <v>456</v>
      </c>
      <c r="K37" s="514" t="s">
        <v>463</v>
      </c>
      <c r="L37" s="515">
        <v>11975.37</v>
      </c>
      <c r="M37" s="515">
        <v>559</v>
      </c>
      <c r="N37" s="532">
        <v>11975.37</v>
      </c>
      <c r="O37" s="514"/>
      <c r="P37" s="533" t="s">
        <v>997</v>
      </c>
    </row>
    <row r="38" spans="1:16" ht="46.5" x14ac:dyDescent="0.35">
      <c r="A38" s="68" t="s">
        <v>477</v>
      </c>
      <c r="B38" s="540" t="s">
        <v>1067</v>
      </c>
      <c r="C38" s="119">
        <f t="shared" si="0"/>
        <v>26</v>
      </c>
      <c r="D38" s="119" t="s">
        <v>94</v>
      </c>
      <c r="E38" s="536" t="s">
        <v>127</v>
      </c>
      <c r="F38" s="213" t="s">
        <v>981</v>
      </c>
      <c r="G38" s="521">
        <v>2</v>
      </c>
      <c r="H38" s="522">
        <v>4000</v>
      </c>
      <c r="I38" s="514" t="s">
        <v>478</v>
      </c>
      <c r="J38" s="514" t="s">
        <v>377</v>
      </c>
      <c r="K38" s="514" t="s">
        <v>479</v>
      </c>
      <c r="L38" s="515">
        <v>3424.3</v>
      </c>
      <c r="M38" s="515">
        <v>623</v>
      </c>
      <c r="N38" s="532">
        <v>3424.3</v>
      </c>
      <c r="O38" s="514"/>
      <c r="P38" s="533" t="s">
        <v>996</v>
      </c>
    </row>
    <row r="39" spans="1:16" ht="46.5" x14ac:dyDescent="0.35">
      <c r="A39" s="68" t="s">
        <v>480</v>
      </c>
      <c r="B39" s="513" t="s">
        <v>1140</v>
      </c>
      <c r="C39" s="119">
        <f t="shared" si="0"/>
        <v>27</v>
      </c>
      <c r="D39" s="119" t="s">
        <v>94</v>
      </c>
      <c r="E39" s="513" t="s">
        <v>128</v>
      </c>
      <c r="F39" s="213" t="s">
        <v>981</v>
      </c>
      <c r="G39" s="521">
        <v>2</v>
      </c>
      <c r="H39" s="522">
        <v>500</v>
      </c>
      <c r="I39" s="514" t="s">
        <v>497</v>
      </c>
      <c r="J39" s="514" t="s">
        <v>498</v>
      </c>
      <c r="K39" s="514" t="s">
        <v>463</v>
      </c>
      <c r="L39" s="515">
        <v>514</v>
      </c>
      <c r="M39" s="515">
        <v>832</v>
      </c>
      <c r="N39" s="532">
        <v>514</v>
      </c>
      <c r="O39" s="514"/>
      <c r="P39" s="516" t="s">
        <v>995</v>
      </c>
    </row>
    <row r="40" spans="1:16" s="228" customFormat="1" ht="46.5" x14ac:dyDescent="0.35">
      <c r="A40" s="227" t="s">
        <v>481</v>
      </c>
      <c r="B40" s="543"/>
      <c r="C40" s="241">
        <f t="shared" si="0"/>
        <v>28</v>
      </c>
      <c r="D40" s="241" t="s">
        <v>94</v>
      </c>
      <c r="E40" s="537" t="s">
        <v>129</v>
      </c>
      <c r="F40" s="24" t="s">
        <v>981</v>
      </c>
      <c r="G40" s="527">
        <v>1</v>
      </c>
      <c r="H40" s="528">
        <v>15000</v>
      </c>
      <c r="I40" s="241"/>
      <c r="J40" s="241"/>
      <c r="K40" s="241"/>
      <c r="L40" s="529"/>
      <c r="M40" s="529"/>
      <c r="N40" s="530"/>
      <c r="O40" s="241"/>
      <c r="P40" s="241"/>
    </row>
    <row r="41" spans="1:16" ht="77.5" x14ac:dyDescent="0.35">
      <c r="A41" s="68" t="s">
        <v>482</v>
      </c>
      <c r="B41" s="538" t="s">
        <v>130</v>
      </c>
      <c r="C41" s="119">
        <f t="shared" si="0"/>
        <v>29</v>
      </c>
      <c r="D41" s="119" t="s">
        <v>94</v>
      </c>
      <c r="E41" s="538" t="s">
        <v>130</v>
      </c>
      <c r="F41" s="213" t="s">
        <v>981</v>
      </c>
      <c r="G41" s="521">
        <v>1</v>
      </c>
      <c r="H41" s="522">
        <v>15000</v>
      </c>
      <c r="I41" s="514" t="s">
        <v>511</v>
      </c>
      <c r="J41" s="514" t="s">
        <v>502</v>
      </c>
      <c r="K41" s="514" t="s">
        <v>512</v>
      </c>
      <c r="L41" s="532">
        <v>14467.97</v>
      </c>
      <c r="M41" s="532">
        <v>973</v>
      </c>
      <c r="N41" s="532">
        <v>14467.97</v>
      </c>
      <c r="O41" s="514"/>
      <c r="P41" s="119" t="s">
        <v>513</v>
      </c>
    </row>
    <row r="42" spans="1:16" ht="15.5" x14ac:dyDescent="0.35">
      <c r="D42" s="8"/>
      <c r="E42" s="8"/>
      <c r="F42" s="8"/>
      <c r="G42" s="8"/>
      <c r="H42" s="8"/>
      <c r="I42" s="8"/>
      <c r="J42" s="8"/>
      <c r="K42" s="8"/>
      <c r="L42" s="8"/>
      <c r="M42" s="8"/>
      <c r="N42" s="8"/>
      <c r="O42" s="8"/>
      <c r="P42" s="8"/>
    </row>
    <row r="43" spans="1:16" ht="15" customHeight="1" x14ac:dyDescent="0.35">
      <c r="B43" s="719" t="s">
        <v>964</v>
      </c>
      <c r="C43" s="719"/>
      <c r="D43" s="719"/>
      <c r="E43" s="719"/>
      <c r="F43" s="719"/>
      <c r="G43" s="719"/>
      <c r="H43" s="719"/>
      <c r="I43" s="719"/>
      <c r="J43" s="719"/>
      <c r="K43" s="719"/>
      <c r="L43" s="719"/>
      <c r="M43" s="719"/>
      <c r="N43" s="719"/>
      <c r="O43" s="719"/>
      <c r="P43" s="720"/>
    </row>
    <row r="44" spans="1:16" ht="15" customHeight="1" x14ac:dyDescent="0.35">
      <c r="B44" s="719"/>
      <c r="C44" s="719"/>
      <c r="D44" s="719"/>
      <c r="E44" s="719"/>
      <c r="F44" s="719"/>
      <c r="G44" s="719"/>
      <c r="H44" s="719"/>
      <c r="I44" s="719"/>
      <c r="J44" s="719"/>
      <c r="K44" s="719"/>
      <c r="L44" s="719"/>
      <c r="M44" s="719"/>
      <c r="N44" s="719"/>
      <c r="O44" s="719"/>
      <c r="P44" s="720"/>
    </row>
    <row r="79" ht="42.75" customHeight="1" x14ac:dyDescent="0.35"/>
    <row r="80" ht="45" customHeight="1" x14ac:dyDescent="0.35"/>
  </sheetData>
  <autoFilter ref="A7:P41" xr:uid="{16F69EA5-EE38-4662-9494-E1DF89CF9AE0}"/>
  <mergeCells count="20">
    <mergeCell ref="B2:D2"/>
    <mergeCell ref="B6:B7"/>
    <mergeCell ref="C6:C7"/>
    <mergeCell ref="F6:F7"/>
    <mergeCell ref="B43:P44"/>
    <mergeCell ref="D4:P4"/>
    <mergeCell ref="I5:P5"/>
    <mergeCell ref="D6:D7"/>
    <mergeCell ref="E6:E7"/>
    <mergeCell ref="G6:G7"/>
    <mergeCell ref="H6:H7"/>
    <mergeCell ref="I6:L6"/>
    <mergeCell ref="P6:P7"/>
    <mergeCell ref="B5:H5"/>
    <mergeCell ref="M6:O6"/>
    <mergeCell ref="B8:D8"/>
    <mergeCell ref="G10:G12"/>
    <mergeCell ref="C10:C12"/>
    <mergeCell ref="H10:H12"/>
    <mergeCell ref="F10:F12"/>
  </mergeCells>
  <phoneticPr fontId="38" type="noConversion"/>
  <pageMargins left="0.7" right="0.7" top="0.75" bottom="0.75" header="0.3" footer="0.3"/>
  <pageSetup paperSize="9" scale="3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FE40D-302C-467D-A31D-A2374538FA53}">
  <sheetPr>
    <tabColor rgb="FF00B0F0"/>
    <pageSetUpPr fitToPage="1"/>
  </sheetPr>
  <dimension ref="A1:O12"/>
  <sheetViews>
    <sheetView view="pageBreakPreview" zoomScale="60" zoomScaleNormal="100" workbookViewId="0">
      <selection activeCell="L14" sqref="L14"/>
    </sheetView>
  </sheetViews>
  <sheetFormatPr defaultColWidth="9.1796875" defaultRowHeight="14" x14ac:dyDescent="0.35"/>
  <cols>
    <col min="1" max="1" width="21.54296875" style="11" customWidth="1"/>
    <col min="2" max="2" width="11.54296875" style="11" customWidth="1"/>
    <col min="3" max="3" width="24.81640625" style="11" customWidth="1"/>
    <col min="4" max="4" width="23.1796875" style="11" customWidth="1"/>
    <col min="5" max="5" width="14.26953125" style="11" customWidth="1"/>
    <col min="6" max="6" width="16.81640625" style="11" customWidth="1"/>
    <col min="7" max="8" width="14.1796875" style="11" customWidth="1"/>
    <col min="9" max="9" width="21" style="11" customWidth="1"/>
    <col min="10" max="11" width="14.26953125" style="11" customWidth="1"/>
    <col min="12" max="12" width="14.54296875" style="11" customWidth="1"/>
    <col min="13" max="13" width="14.1796875" style="11" customWidth="1"/>
    <col min="14" max="14" width="32.81640625" style="11" customWidth="1"/>
    <col min="15" max="15" width="14.1796875" style="10" customWidth="1"/>
    <col min="16" max="18" width="10" style="11" bestFit="1" customWidth="1"/>
    <col min="19" max="16384" width="9.1796875" style="11"/>
  </cols>
  <sheetData>
    <row r="1" spans="1:14" ht="15.5" x14ac:dyDescent="0.35">
      <c r="B1" s="8"/>
      <c r="C1" s="8"/>
      <c r="D1" s="8"/>
      <c r="E1" s="8"/>
      <c r="F1" s="8"/>
      <c r="G1" s="8"/>
      <c r="H1" s="8"/>
      <c r="I1" s="8"/>
      <c r="J1" s="8"/>
      <c r="K1" s="8"/>
      <c r="L1" s="8"/>
      <c r="M1" s="8"/>
      <c r="N1" s="9"/>
    </row>
    <row r="2" spans="1:14" ht="15.5" x14ac:dyDescent="0.35">
      <c r="A2" s="807" t="s">
        <v>45</v>
      </c>
      <c r="B2" s="807"/>
      <c r="C2" s="807"/>
      <c r="D2" s="8"/>
      <c r="E2" s="8"/>
      <c r="F2" s="8"/>
      <c r="G2" s="8"/>
      <c r="H2" s="8"/>
      <c r="I2" s="8"/>
      <c r="J2" s="8"/>
      <c r="K2" s="8"/>
      <c r="L2" s="8"/>
      <c r="M2" s="8"/>
      <c r="N2" s="9"/>
    </row>
    <row r="3" spans="1:14" ht="15.5" x14ac:dyDescent="0.35">
      <c r="B3" s="8"/>
      <c r="C3" s="8"/>
      <c r="D3" s="8"/>
      <c r="E3" s="8"/>
      <c r="F3" s="8"/>
      <c r="G3" s="8"/>
      <c r="H3" s="8"/>
      <c r="I3" s="8"/>
      <c r="J3" s="8"/>
      <c r="K3" s="8"/>
      <c r="L3" s="8"/>
      <c r="M3" s="8"/>
      <c r="N3" s="9"/>
    </row>
    <row r="4" spans="1:14" ht="17.5" x14ac:dyDescent="0.35">
      <c r="B4" s="589" t="s">
        <v>9</v>
      </c>
      <c r="C4" s="589"/>
      <c r="D4" s="589"/>
      <c r="E4" s="589"/>
      <c r="F4" s="590"/>
      <c r="G4" s="591"/>
      <c r="H4" s="591"/>
      <c r="I4" s="591"/>
      <c r="J4" s="591"/>
      <c r="K4" s="591"/>
      <c r="L4" s="591"/>
      <c r="M4" s="591"/>
      <c r="N4" s="592"/>
    </row>
    <row r="5" spans="1:14" ht="15" x14ac:dyDescent="0.35">
      <c r="A5" s="600" t="s">
        <v>48</v>
      </c>
      <c r="B5" s="600"/>
      <c r="C5" s="600"/>
      <c r="D5" s="600"/>
      <c r="E5" s="600"/>
      <c r="F5" s="600"/>
      <c r="G5" s="593" t="s">
        <v>9</v>
      </c>
      <c r="H5" s="594"/>
      <c r="I5" s="594"/>
      <c r="J5" s="594"/>
      <c r="K5" s="594"/>
      <c r="L5" s="594"/>
      <c r="M5" s="594"/>
      <c r="N5" s="595"/>
    </row>
    <row r="6" spans="1:14" ht="15.75" customHeight="1" x14ac:dyDescent="0.35">
      <c r="A6" s="604" t="s">
        <v>950</v>
      </c>
      <c r="B6" s="604" t="s">
        <v>10</v>
      </c>
      <c r="C6" s="604" t="s">
        <v>46</v>
      </c>
      <c r="D6" s="604" t="s">
        <v>951</v>
      </c>
      <c r="E6" s="604" t="s">
        <v>11</v>
      </c>
      <c r="F6" s="604" t="s">
        <v>12</v>
      </c>
      <c r="G6" s="593" t="s">
        <v>946</v>
      </c>
      <c r="H6" s="594"/>
      <c r="I6" s="594"/>
      <c r="J6" s="595"/>
      <c r="K6" s="593" t="s">
        <v>948</v>
      </c>
      <c r="L6" s="594"/>
      <c r="M6" s="595"/>
      <c r="N6" s="604" t="s">
        <v>947</v>
      </c>
    </row>
    <row r="7" spans="1:14" ht="30" x14ac:dyDescent="0.35">
      <c r="A7" s="597"/>
      <c r="B7" s="597"/>
      <c r="C7" s="597"/>
      <c r="D7" s="597"/>
      <c r="E7" s="597"/>
      <c r="F7" s="597"/>
      <c r="G7" s="12" t="s">
        <v>14</v>
      </c>
      <c r="H7" s="12" t="s">
        <v>15</v>
      </c>
      <c r="I7" s="12" t="s">
        <v>16</v>
      </c>
      <c r="J7" s="12" t="s">
        <v>17</v>
      </c>
      <c r="K7" s="12" t="s">
        <v>952</v>
      </c>
      <c r="L7" s="12" t="s">
        <v>953</v>
      </c>
      <c r="M7" s="12" t="s">
        <v>954</v>
      </c>
      <c r="N7" s="597"/>
    </row>
    <row r="8" spans="1:14" ht="15" x14ac:dyDescent="0.35">
      <c r="A8" s="145" t="s">
        <v>18</v>
      </c>
      <c r="B8" s="125"/>
      <c r="C8" s="125"/>
      <c r="D8" s="125"/>
      <c r="E8" s="125"/>
      <c r="F8" s="125"/>
      <c r="G8" s="12"/>
      <c r="H8" s="12"/>
      <c r="I8" s="12"/>
      <c r="J8" s="100">
        <f>J9</f>
        <v>4610.1000000000004</v>
      </c>
      <c r="K8" s="12"/>
      <c r="L8" s="12">
        <f>L9</f>
        <v>4610.1000000000004</v>
      </c>
      <c r="M8" s="12"/>
      <c r="N8" s="125"/>
    </row>
    <row r="9" spans="1:14" ht="62" x14ac:dyDescent="0.35">
      <c r="A9" s="224" t="s">
        <v>955</v>
      </c>
      <c r="B9" s="224"/>
      <c r="C9" s="215" t="s">
        <v>47</v>
      </c>
      <c r="D9" s="215" t="s">
        <v>981</v>
      </c>
      <c r="E9" s="215">
        <v>3</v>
      </c>
      <c r="F9" s="219">
        <v>4500</v>
      </c>
      <c r="G9" s="215" t="s">
        <v>690</v>
      </c>
      <c r="H9" s="215" t="s">
        <v>687</v>
      </c>
      <c r="I9" s="215" t="s">
        <v>149</v>
      </c>
      <c r="J9" s="219">
        <v>4610.1000000000004</v>
      </c>
      <c r="K9" s="215">
        <v>215187</v>
      </c>
      <c r="L9" s="215">
        <v>4610.1000000000004</v>
      </c>
      <c r="M9" s="215"/>
      <c r="N9" s="119" t="s">
        <v>1147</v>
      </c>
    </row>
    <row r="10" spans="1:14" ht="15.5" x14ac:dyDescent="0.35">
      <c r="B10" s="8"/>
      <c r="C10" s="8"/>
      <c r="D10" s="8"/>
      <c r="E10" s="8"/>
      <c r="F10" s="8"/>
      <c r="G10" s="8"/>
      <c r="H10" s="8"/>
      <c r="I10" s="8"/>
      <c r="J10" s="8"/>
      <c r="K10" s="8"/>
      <c r="L10" s="8"/>
      <c r="M10" s="8"/>
      <c r="N10" s="8"/>
    </row>
    <row r="11" spans="1:14" ht="21" customHeight="1" x14ac:dyDescent="0.35">
      <c r="A11" s="808" t="s">
        <v>949</v>
      </c>
      <c r="B11" s="809"/>
      <c r="C11" s="809"/>
      <c r="D11" s="809"/>
      <c r="E11" s="809"/>
      <c r="F11" s="809"/>
      <c r="G11" s="809"/>
      <c r="H11" s="809"/>
      <c r="I11" s="809"/>
      <c r="J11" s="809"/>
      <c r="K11" s="809"/>
      <c r="L11" s="809"/>
      <c r="M11" s="809"/>
      <c r="N11" s="810"/>
    </row>
    <row r="12" spans="1:14" ht="45" customHeight="1" x14ac:dyDescent="0.35">
      <c r="A12" s="174"/>
      <c r="B12" s="146"/>
      <c r="C12" s="146"/>
      <c r="D12" s="146"/>
      <c r="E12" s="146"/>
      <c r="F12" s="146"/>
      <c r="G12" s="146"/>
      <c r="H12" s="146"/>
      <c r="I12" s="146"/>
      <c r="J12" s="146"/>
      <c r="K12" s="146"/>
      <c r="L12" s="146"/>
      <c r="M12" s="146"/>
      <c r="N12" s="146"/>
    </row>
  </sheetData>
  <mergeCells count="14">
    <mergeCell ref="A2:C2"/>
    <mergeCell ref="A6:A7"/>
    <mergeCell ref="A5:F5"/>
    <mergeCell ref="D6:D7"/>
    <mergeCell ref="A11:N11"/>
    <mergeCell ref="B4:N4"/>
    <mergeCell ref="G5:N5"/>
    <mergeCell ref="B6:B7"/>
    <mergeCell ref="C6:C7"/>
    <mergeCell ref="E6:E7"/>
    <mergeCell ref="F6:F7"/>
    <mergeCell ref="G6:J6"/>
    <mergeCell ref="N6:N7"/>
    <mergeCell ref="K6:M6"/>
  </mergeCells>
  <pageMargins left="0.70866141732283472" right="0.70866141732283472" top="0.74803149606299213" bottom="0.74803149606299213" header="0.31496062992125984" footer="0.31496062992125984"/>
  <pageSetup paperSize="9" scale="5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63C4-C705-4B55-9916-8423C462BB01}">
  <sheetPr>
    <tabColor rgb="FF92D050"/>
  </sheetPr>
  <dimension ref="A1:M25"/>
  <sheetViews>
    <sheetView view="pageBreakPreview" zoomScale="60" zoomScaleNormal="80" workbookViewId="0">
      <selection activeCell="I14" sqref="I14"/>
    </sheetView>
  </sheetViews>
  <sheetFormatPr defaultColWidth="9.1796875" defaultRowHeight="14" x14ac:dyDescent="0.35"/>
  <cols>
    <col min="1" max="1" width="21.7265625" style="11" customWidth="1"/>
    <col min="2" max="2" width="47.26953125" style="11" customWidth="1"/>
    <col min="3" max="4" width="14.26953125" style="11" customWidth="1"/>
    <col min="5" max="5" width="16.81640625" style="11" customWidth="1"/>
    <col min="6" max="6" width="17.81640625" style="130" customWidth="1"/>
    <col min="7" max="7" width="14.1796875" style="26" customWidth="1"/>
    <col min="8" max="8" width="21" style="11" customWidth="1"/>
    <col min="9" max="9" width="14.26953125" style="11" customWidth="1"/>
    <col min="10" max="10" width="14.453125" style="11" customWidth="1"/>
    <col min="11" max="11" width="14.1796875" style="11" customWidth="1"/>
    <col min="12" max="12" width="32.81640625" style="11" customWidth="1"/>
    <col min="13" max="13" width="11.1796875" style="11" bestFit="1" customWidth="1"/>
    <col min="14" max="14" width="10" style="11" bestFit="1" customWidth="1"/>
    <col min="15" max="16384" width="9.1796875" style="11"/>
  </cols>
  <sheetData>
    <row r="1" spans="1:13" ht="15.5" x14ac:dyDescent="0.35">
      <c r="A1" s="8"/>
      <c r="B1" s="8"/>
      <c r="C1" s="8"/>
      <c r="D1" s="8"/>
      <c r="E1" s="8"/>
      <c r="F1" s="126"/>
      <c r="G1" s="16"/>
      <c r="H1" s="8"/>
      <c r="I1" s="8"/>
      <c r="J1" s="8"/>
      <c r="K1" s="8"/>
      <c r="L1" s="9"/>
    </row>
    <row r="2" spans="1:13" ht="20.25" customHeight="1" x14ac:dyDescent="0.35">
      <c r="A2" s="793" t="s">
        <v>969</v>
      </c>
      <c r="B2" s="793"/>
      <c r="C2" s="8"/>
      <c r="D2" s="8"/>
      <c r="E2" s="8"/>
      <c r="F2" s="126"/>
      <c r="G2" s="16"/>
      <c r="H2" s="8"/>
      <c r="I2" s="8"/>
      <c r="J2" s="8"/>
      <c r="K2" s="8"/>
      <c r="L2" s="9"/>
    </row>
    <row r="3" spans="1:13" ht="15.5" x14ac:dyDescent="0.35">
      <c r="A3" s="8"/>
      <c r="B3" s="8"/>
      <c r="C3" s="8"/>
      <c r="D3" s="8"/>
      <c r="E3" s="8"/>
      <c r="F3" s="126"/>
      <c r="G3" s="16"/>
      <c r="H3" s="8"/>
      <c r="I3" s="8"/>
      <c r="J3" s="8"/>
      <c r="K3" s="8"/>
      <c r="L3" s="9"/>
    </row>
    <row r="4" spans="1:13" ht="24.75" customHeight="1" x14ac:dyDescent="0.35">
      <c r="A4" s="812" t="s">
        <v>9</v>
      </c>
      <c r="B4" s="812"/>
      <c r="C4" s="812"/>
      <c r="D4" s="812"/>
      <c r="E4" s="591"/>
      <c r="F4" s="591"/>
      <c r="G4" s="591"/>
      <c r="H4" s="591"/>
      <c r="I4" s="591"/>
      <c r="J4" s="591"/>
      <c r="K4" s="591"/>
      <c r="L4" s="592"/>
    </row>
    <row r="5" spans="1:13" ht="35.25" customHeight="1" x14ac:dyDescent="0.35">
      <c r="A5" s="593" t="s">
        <v>48</v>
      </c>
      <c r="B5" s="594"/>
      <c r="C5" s="594"/>
      <c r="D5" s="594"/>
      <c r="E5" s="595"/>
      <c r="F5" s="593" t="s">
        <v>9</v>
      </c>
      <c r="G5" s="594"/>
      <c r="H5" s="594"/>
      <c r="I5" s="594"/>
      <c r="J5" s="594"/>
      <c r="K5" s="594"/>
      <c r="L5" s="595"/>
    </row>
    <row r="6" spans="1:13" ht="43.5" customHeight="1" x14ac:dyDescent="0.35">
      <c r="A6" s="604" t="s">
        <v>10</v>
      </c>
      <c r="B6" s="604" t="s">
        <v>46</v>
      </c>
      <c r="C6" s="604" t="s">
        <v>11</v>
      </c>
      <c r="D6" s="604" t="s">
        <v>49</v>
      </c>
      <c r="E6" s="604" t="s">
        <v>12</v>
      </c>
      <c r="F6" s="593" t="s">
        <v>50</v>
      </c>
      <c r="G6" s="594"/>
      <c r="H6" s="594"/>
      <c r="I6" s="595"/>
      <c r="J6" s="643" t="s">
        <v>51</v>
      </c>
      <c r="K6" s="811"/>
      <c r="L6" s="604" t="s">
        <v>52</v>
      </c>
    </row>
    <row r="7" spans="1:13" ht="67.5" customHeight="1" x14ac:dyDescent="0.35">
      <c r="A7" s="597"/>
      <c r="B7" s="597"/>
      <c r="C7" s="597"/>
      <c r="D7" s="597"/>
      <c r="E7" s="597"/>
      <c r="F7" s="12" t="s">
        <v>14</v>
      </c>
      <c r="G7" s="17" t="s">
        <v>15</v>
      </c>
      <c r="H7" s="12" t="s">
        <v>16</v>
      </c>
      <c r="I7" s="12" t="s">
        <v>17</v>
      </c>
      <c r="J7" s="12" t="s">
        <v>6</v>
      </c>
      <c r="K7" s="12" t="s">
        <v>0</v>
      </c>
      <c r="L7" s="597"/>
    </row>
    <row r="8" spans="1:13" s="20" customFormat="1" ht="25.5" customHeight="1" x14ac:dyDescent="0.35">
      <c r="A8" s="13" t="s">
        <v>18</v>
      </c>
      <c r="B8" s="14" t="s">
        <v>19</v>
      </c>
      <c r="C8" s="14"/>
      <c r="D8" s="14"/>
      <c r="E8" s="18">
        <f>SUM(E9:E18)</f>
        <v>18232.696599999999</v>
      </c>
      <c r="F8" s="14" t="s">
        <v>19</v>
      </c>
      <c r="G8" s="19" t="s">
        <v>19</v>
      </c>
      <c r="H8" s="14" t="s">
        <v>19</v>
      </c>
      <c r="I8" s="18">
        <f>SUM(I9:I18)</f>
        <v>18236.3</v>
      </c>
      <c r="J8" s="14" t="s">
        <v>19</v>
      </c>
      <c r="K8" s="18">
        <f>SUM(K9:K18)</f>
        <v>18236.3</v>
      </c>
      <c r="L8" s="14" t="s">
        <v>19</v>
      </c>
    </row>
    <row r="9" spans="1:13" ht="31" x14ac:dyDescent="0.35">
      <c r="A9" s="229">
        <v>1</v>
      </c>
      <c r="B9" s="230" t="s">
        <v>131</v>
      </c>
      <c r="C9" s="231">
        <v>1</v>
      </c>
      <c r="D9" s="232">
        <f>4628*1.21</f>
        <v>5599.88</v>
      </c>
      <c r="E9" s="232">
        <f t="shared" ref="E9:E18" si="0">+D9*C9</f>
        <v>5599.88</v>
      </c>
      <c r="F9" s="39" t="s">
        <v>132</v>
      </c>
      <c r="G9" s="233" t="s">
        <v>972</v>
      </c>
      <c r="H9" s="203" t="s">
        <v>971</v>
      </c>
      <c r="I9" s="234">
        <v>5599.88</v>
      </c>
      <c r="J9" s="58">
        <v>95</v>
      </c>
      <c r="K9" s="57">
        <v>5599.88</v>
      </c>
      <c r="L9" s="39" t="s">
        <v>960</v>
      </c>
      <c r="M9" s="21"/>
    </row>
    <row r="10" spans="1:13" ht="31" x14ac:dyDescent="0.35">
      <c r="A10" s="229">
        <v>2</v>
      </c>
      <c r="B10" s="230" t="s">
        <v>133</v>
      </c>
      <c r="C10" s="231">
        <v>1</v>
      </c>
      <c r="D10" s="232">
        <f>920*1.21</f>
        <v>1113.2</v>
      </c>
      <c r="E10" s="232">
        <f t="shared" si="0"/>
        <v>1113.2</v>
      </c>
      <c r="F10" s="39" t="s">
        <v>132</v>
      </c>
      <c r="G10" s="233" t="s">
        <v>972</v>
      </c>
      <c r="H10" s="203" t="s">
        <v>971</v>
      </c>
      <c r="I10" s="234">
        <v>1113.2</v>
      </c>
      <c r="J10" s="39">
        <v>95</v>
      </c>
      <c r="K10" s="235">
        <v>1113.2</v>
      </c>
      <c r="L10" s="39" t="s">
        <v>960</v>
      </c>
    </row>
    <row r="11" spans="1:13" ht="31" x14ac:dyDescent="0.35">
      <c r="A11" s="229">
        <v>3</v>
      </c>
      <c r="B11" s="230" t="s">
        <v>134</v>
      </c>
      <c r="C11" s="231">
        <v>1</v>
      </c>
      <c r="D11" s="232">
        <f>(280+28.46)*1.21</f>
        <v>373.23659999999995</v>
      </c>
      <c r="E11" s="232">
        <f t="shared" si="0"/>
        <v>373.23659999999995</v>
      </c>
      <c r="F11" s="39" t="s">
        <v>132</v>
      </c>
      <c r="G11" s="233" t="s">
        <v>972</v>
      </c>
      <c r="H11" s="203" t="s">
        <v>971</v>
      </c>
      <c r="I11" s="236">
        <v>373.24</v>
      </c>
      <c r="J11" s="39">
        <v>95</v>
      </c>
      <c r="K11" s="235">
        <v>373.24</v>
      </c>
      <c r="L11" s="39" t="s">
        <v>960</v>
      </c>
    </row>
    <row r="12" spans="1:13" ht="31" x14ac:dyDescent="0.35">
      <c r="A12" s="229">
        <v>4</v>
      </c>
      <c r="B12" s="230" t="s">
        <v>135</v>
      </c>
      <c r="C12" s="231">
        <v>1</v>
      </c>
      <c r="D12" s="232">
        <f>1300*1.21</f>
        <v>1573</v>
      </c>
      <c r="E12" s="232">
        <f t="shared" si="0"/>
        <v>1573</v>
      </c>
      <c r="F12" s="39" t="s">
        <v>132</v>
      </c>
      <c r="G12" s="233" t="s">
        <v>972</v>
      </c>
      <c r="H12" s="203" t="s">
        <v>971</v>
      </c>
      <c r="I12" s="235">
        <v>1573</v>
      </c>
      <c r="J12" s="39">
        <v>95</v>
      </c>
      <c r="K12" s="235">
        <v>1573</v>
      </c>
      <c r="L12" s="39" t="s">
        <v>960</v>
      </c>
    </row>
    <row r="13" spans="1:13" ht="31" x14ac:dyDescent="0.35">
      <c r="A13" s="229">
        <v>5</v>
      </c>
      <c r="B13" s="230" t="s">
        <v>136</v>
      </c>
      <c r="C13" s="231">
        <v>1</v>
      </c>
      <c r="D13" s="232">
        <v>6413</v>
      </c>
      <c r="E13" s="232">
        <f t="shared" si="0"/>
        <v>6413</v>
      </c>
      <c r="F13" s="39" t="s">
        <v>137</v>
      </c>
      <c r="G13" s="233" t="s">
        <v>972</v>
      </c>
      <c r="H13" s="203" t="s">
        <v>971</v>
      </c>
      <c r="I13" s="235">
        <v>6690.2</v>
      </c>
      <c r="J13" s="39">
        <v>95</v>
      </c>
      <c r="K13" s="235">
        <v>6690.2</v>
      </c>
      <c r="L13" s="39" t="s">
        <v>960</v>
      </c>
    </row>
    <row r="14" spans="1:13" ht="31" x14ac:dyDescent="0.35">
      <c r="A14" s="229">
        <v>6</v>
      </c>
      <c r="B14" s="230" t="s">
        <v>138</v>
      </c>
      <c r="C14" s="231">
        <v>1</v>
      </c>
      <c r="D14" s="232">
        <f>2018*1.21</f>
        <v>2441.7799999999997</v>
      </c>
      <c r="E14" s="232">
        <f t="shared" si="0"/>
        <v>2441.7799999999997</v>
      </c>
      <c r="F14" s="39" t="s">
        <v>132</v>
      </c>
      <c r="G14" s="233" t="s">
        <v>972</v>
      </c>
      <c r="H14" s="203" t="s">
        <v>971</v>
      </c>
      <c r="I14" s="235">
        <v>2441.7800000000002</v>
      </c>
      <c r="J14" s="39">
        <v>95</v>
      </c>
      <c r="K14" s="235">
        <v>2441.7800000000002</v>
      </c>
      <c r="L14" s="39" t="s">
        <v>960</v>
      </c>
    </row>
    <row r="15" spans="1:13" ht="31" x14ac:dyDescent="0.35">
      <c r="A15" s="229">
        <v>7</v>
      </c>
      <c r="B15" s="230" t="s">
        <v>139</v>
      </c>
      <c r="C15" s="231">
        <v>5</v>
      </c>
      <c r="D15" s="232">
        <v>40</v>
      </c>
      <c r="E15" s="232">
        <f t="shared" si="0"/>
        <v>200</v>
      </c>
      <c r="F15" s="39" t="s">
        <v>140</v>
      </c>
      <c r="G15" s="237" t="s">
        <v>277</v>
      </c>
      <c r="H15" s="39" t="s">
        <v>970</v>
      </c>
      <c r="I15" s="235">
        <v>210</v>
      </c>
      <c r="J15" s="39">
        <v>96</v>
      </c>
      <c r="K15" s="235">
        <v>210</v>
      </c>
      <c r="L15" s="39" t="s">
        <v>960</v>
      </c>
    </row>
    <row r="16" spans="1:13" ht="31" x14ac:dyDescent="0.35">
      <c r="A16" s="229">
        <v>8</v>
      </c>
      <c r="B16" s="230" t="s">
        <v>20</v>
      </c>
      <c r="C16" s="231">
        <v>5</v>
      </c>
      <c r="D16" s="232">
        <f>32*1.21</f>
        <v>38.72</v>
      </c>
      <c r="E16" s="232">
        <f t="shared" si="0"/>
        <v>193.6</v>
      </c>
      <c r="F16" s="39" t="s">
        <v>140</v>
      </c>
      <c r="G16" s="237" t="s">
        <v>277</v>
      </c>
      <c r="H16" s="39" t="s">
        <v>970</v>
      </c>
      <c r="I16" s="235">
        <v>145</v>
      </c>
      <c r="J16" s="39">
        <v>96</v>
      </c>
      <c r="K16" s="235">
        <v>145</v>
      </c>
      <c r="L16" s="39" t="s">
        <v>960</v>
      </c>
    </row>
    <row r="17" spans="1:12" ht="31" x14ac:dyDescent="0.35">
      <c r="A17" s="229">
        <v>9</v>
      </c>
      <c r="B17" s="230" t="s">
        <v>21</v>
      </c>
      <c r="C17" s="231">
        <v>5</v>
      </c>
      <c r="D17" s="232">
        <v>20</v>
      </c>
      <c r="E17" s="232">
        <f t="shared" si="0"/>
        <v>100</v>
      </c>
      <c r="F17" s="39" t="s">
        <v>140</v>
      </c>
      <c r="G17" s="237" t="s">
        <v>277</v>
      </c>
      <c r="H17" s="39" t="s">
        <v>970</v>
      </c>
      <c r="I17" s="235">
        <v>90</v>
      </c>
      <c r="J17" s="39">
        <v>96</v>
      </c>
      <c r="K17" s="235">
        <v>90</v>
      </c>
      <c r="L17" s="39" t="s">
        <v>960</v>
      </c>
    </row>
    <row r="18" spans="1:12" ht="15.5" x14ac:dyDescent="0.35">
      <c r="A18" s="238">
        <v>10</v>
      </c>
      <c r="B18" s="239" t="s">
        <v>141</v>
      </c>
      <c r="C18" s="240">
        <v>5</v>
      </c>
      <c r="D18" s="28">
        <v>45</v>
      </c>
      <c r="E18" s="28">
        <f t="shared" si="0"/>
        <v>225</v>
      </c>
      <c r="F18" s="241"/>
      <c r="G18" s="242"/>
      <c r="H18" s="241"/>
      <c r="I18" s="243"/>
      <c r="J18" s="241"/>
      <c r="K18" s="243"/>
      <c r="L18" s="241"/>
    </row>
    <row r="19" spans="1:12" ht="15.5" x14ac:dyDescent="0.35">
      <c r="A19" s="8"/>
      <c r="B19" s="8"/>
      <c r="C19" s="8"/>
      <c r="D19" s="8"/>
      <c r="E19" s="8"/>
      <c r="F19" s="126"/>
      <c r="G19" s="16"/>
      <c r="H19" s="8"/>
      <c r="I19" s="62"/>
      <c r="J19" s="8"/>
      <c r="K19" s="8"/>
      <c r="L19" s="8"/>
    </row>
    <row r="20" spans="1:12" ht="42.75" customHeight="1" x14ac:dyDescent="0.35">
      <c r="A20" s="605"/>
      <c r="B20" s="756"/>
      <c r="C20" s="756"/>
      <c r="D20" s="756"/>
      <c r="E20" s="756"/>
      <c r="F20" s="756"/>
      <c r="G20" s="756"/>
      <c r="H20" s="756"/>
      <c r="I20" s="756"/>
      <c r="J20" s="756"/>
      <c r="K20" s="756"/>
      <c r="L20" s="756"/>
    </row>
    <row r="21" spans="1:12" ht="45" customHeight="1" x14ac:dyDescent="0.35">
      <c r="A21" s="756"/>
      <c r="B21" s="756"/>
      <c r="C21" s="756"/>
      <c r="D21" s="756"/>
      <c r="E21" s="756"/>
      <c r="F21" s="756"/>
      <c r="G21" s="756"/>
      <c r="H21" s="756"/>
      <c r="I21" s="756"/>
      <c r="J21" s="756"/>
      <c r="K21" s="756"/>
      <c r="L21" s="756"/>
    </row>
    <row r="24" spans="1:12" x14ac:dyDescent="0.35">
      <c r="A24" s="25"/>
    </row>
    <row r="25" spans="1:12" x14ac:dyDescent="0.35">
      <c r="A25" s="25"/>
    </row>
  </sheetData>
  <mergeCells count="13">
    <mergeCell ref="A20:L21"/>
    <mergeCell ref="J6:K6"/>
    <mergeCell ref="L6:L7"/>
    <mergeCell ref="A2:B2"/>
    <mergeCell ref="A4:L4"/>
    <mergeCell ref="A5:E5"/>
    <mergeCell ref="F5:L5"/>
    <mergeCell ref="A6:A7"/>
    <mergeCell ref="B6:B7"/>
    <mergeCell ref="C6:C7"/>
    <mergeCell ref="D6:D7"/>
    <mergeCell ref="E6:E7"/>
    <mergeCell ref="F6:I6"/>
  </mergeCells>
  <pageMargins left="0.7" right="0.7" top="0.75" bottom="0.75" header="0.3" footer="0.3"/>
  <pageSetup paperSize="9" scale="36"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1143-1F97-45C4-B54C-F44612457878}">
  <sheetPr>
    <tabColor rgb="FF92D050"/>
  </sheetPr>
  <dimension ref="A1:O14"/>
  <sheetViews>
    <sheetView view="pageBreakPreview" zoomScale="60" zoomScaleNormal="80" workbookViewId="0">
      <selection activeCell="K9" sqref="K9"/>
    </sheetView>
  </sheetViews>
  <sheetFormatPr defaultColWidth="9.1796875" defaultRowHeight="14" x14ac:dyDescent="0.35"/>
  <cols>
    <col min="1" max="1" width="33.1796875" style="11" customWidth="1"/>
    <col min="2" max="2" width="35.54296875" style="11" customWidth="1"/>
    <col min="3" max="3" width="14.26953125" style="11" customWidth="1"/>
    <col min="4" max="4" width="16.81640625" style="11" customWidth="1"/>
    <col min="5" max="6" width="14.1796875" style="11" customWidth="1"/>
    <col min="7" max="7" width="21" style="11" customWidth="1"/>
    <col min="8" max="8" width="14.26953125" style="11" customWidth="1"/>
    <col min="9" max="9" width="14.54296875" style="11" customWidth="1"/>
    <col min="10" max="10" width="14.1796875" style="11" customWidth="1"/>
    <col min="11" max="11" width="32.81640625" style="11" customWidth="1"/>
    <col min="12" max="12" width="14.1796875" style="10" customWidth="1"/>
    <col min="13" max="15" width="10" style="11" bestFit="1" customWidth="1"/>
    <col min="16" max="16384" width="9.1796875" style="11"/>
  </cols>
  <sheetData>
    <row r="1" spans="1:15" ht="15.5" x14ac:dyDescent="0.35">
      <c r="A1" s="8"/>
      <c r="B1" s="8"/>
      <c r="C1" s="8"/>
      <c r="D1" s="8"/>
      <c r="E1" s="8"/>
      <c r="F1" s="8"/>
      <c r="G1" s="8"/>
      <c r="H1" s="8"/>
      <c r="I1" s="8"/>
      <c r="J1" s="8"/>
      <c r="K1" s="9"/>
    </row>
    <row r="2" spans="1:15" ht="15.5" x14ac:dyDescent="0.35">
      <c r="A2" s="8" t="s">
        <v>974</v>
      </c>
      <c r="B2" s="8"/>
      <c r="C2" s="8"/>
      <c r="D2" s="8"/>
      <c r="E2" s="8"/>
      <c r="F2" s="8"/>
      <c r="G2" s="8"/>
      <c r="H2" s="8"/>
      <c r="I2" s="8"/>
      <c r="J2" s="8"/>
      <c r="K2" s="9"/>
    </row>
    <row r="3" spans="1:15" ht="15.5" x14ac:dyDescent="0.35">
      <c r="A3" s="8"/>
      <c r="B3" s="8"/>
      <c r="C3" s="8"/>
      <c r="D3" s="8"/>
      <c r="E3" s="8"/>
      <c r="F3" s="8"/>
      <c r="G3" s="8"/>
      <c r="H3" s="8"/>
      <c r="I3" s="8"/>
      <c r="J3" s="8"/>
      <c r="K3" s="9"/>
    </row>
    <row r="4" spans="1:15" ht="17.5" x14ac:dyDescent="0.35">
      <c r="A4" s="812" t="s">
        <v>9</v>
      </c>
      <c r="B4" s="812"/>
      <c r="C4" s="812"/>
      <c r="D4" s="591"/>
      <c r="E4" s="591"/>
      <c r="F4" s="591"/>
      <c r="G4" s="591"/>
      <c r="H4" s="591"/>
      <c r="I4" s="591"/>
      <c r="J4" s="591"/>
      <c r="K4" s="592"/>
    </row>
    <row r="5" spans="1:15" ht="15" x14ac:dyDescent="0.35">
      <c r="A5" s="593" t="s">
        <v>48</v>
      </c>
      <c r="B5" s="594"/>
      <c r="C5" s="594"/>
      <c r="D5" s="595"/>
      <c r="E5" s="593" t="s">
        <v>9</v>
      </c>
      <c r="F5" s="594"/>
      <c r="G5" s="594"/>
      <c r="H5" s="594"/>
      <c r="I5" s="594"/>
      <c r="J5" s="594"/>
      <c r="K5" s="595"/>
    </row>
    <row r="6" spans="1:15" ht="15" x14ac:dyDescent="0.35">
      <c r="A6" s="604" t="s">
        <v>10</v>
      </c>
      <c r="B6" s="604" t="s">
        <v>46</v>
      </c>
      <c r="C6" s="604" t="s">
        <v>11</v>
      </c>
      <c r="D6" s="604" t="s">
        <v>12</v>
      </c>
      <c r="E6" s="593" t="s">
        <v>946</v>
      </c>
      <c r="F6" s="594"/>
      <c r="G6" s="594"/>
      <c r="H6" s="595"/>
      <c r="I6" s="643" t="s">
        <v>13</v>
      </c>
      <c r="J6" s="811"/>
      <c r="K6" s="604" t="s">
        <v>947</v>
      </c>
    </row>
    <row r="7" spans="1:15" ht="30" x14ac:dyDescent="0.35">
      <c r="A7" s="597"/>
      <c r="B7" s="597"/>
      <c r="C7" s="597"/>
      <c r="D7" s="597"/>
      <c r="E7" s="12" t="s">
        <v>14</v>
      </c>
      <c r="F7" s="12" t="s">
        <v>15</v>
      </c>
      <c r="G7" s="12" t="s">
        <v>16</v>
      </c>
      <c r="H7" s="12" t="s">
        <v>17</v>
      </c>
      <c r="I7" s="12" t="s">
        <v>6</v>
      </c>
      <c r="J7" s="12" t="s">
        <v>0</v>
      </c>
      <c r="K7" s="597"/>
    </row>
    <row r="8" spans="1:15" ht="15" x14ac:dyDescent="0.35">
      <c r="A8" s="13" t="s">
        <v>18</v>
      </c>
      <c r="B8" s="14"/>
      <c r="C8" s="14"/>
      <c r="D8" s="48">
        <f>SUM(D9:D11)</f>
        <v>11690.22</v>
      </c>
      <c r="E8" s="14"/>
      <c r="F8" s="14"/>
      <c r="G8" s="14"/>
      <c r="H8" s="14">
        <f>SUM(H9:H11)</f>
        <v>11688.6</v>
      </c>
      <c r="I8" s="14"/>
      <c r="J8" s="14">
        <f>SUM(J9:J11)</f>
        <v>2998.38</v>
      </c>
      <c r="K8" s="14"/>
    </row>
    <row r="9" spans="1:15" ht="54" customHeight="1" x14ac:dyDescent="0.35">
      <c r="A9" s="45"/>
      <c r="B9" s="45" t="s">
        <v>284</v>
      </c>
      <c r="C9" s="45">
        <v>2</v>
      </c>
      <c r="D9" s="249">
        <v>3000</v>
      </c>
      <c r="E9" s="45" t="s">
        <v>285</v>
      </c>
      <c r="F9" s="45" t="s">
        <v>286</v>
      </c>
      <c r="G9" s="45" t="s">
        <v>287</v>
      </c>
      <c r="H9" s="45">
        <v>2998.38</v>
      </c>
      <c r="I9" s="45">
        <v>19775</v>
      </c>
      <c r="J9" s="45">
        <v>2998.38</v>
      </c>
      <c r="K9" s="45" t="s">
        <v>998</v>
      </c>
    </row>
    <row r="10" spans="1:15" ht="62.25" customHeight="1" x14ac:dyDescent="0.3">
      <c r="A10" s="45"/>
      <c r="B10" s="251" t="s">
        <v>968</v>
      </c>
      <c r="C10" s="45">
        <v>1</v>
      </c>
      <c r="D10" s="45">
        <v>4952.53</v>
      </c>
      <c r="E10" s="45" t="s">
        <v>966</v>
      </c>
      <c r="F10" s="252" t="s">
        <v>281</v>
      </c>
      <c r="G10" s="45" t="s">
        <v>965</v>
      </c>
      <c r="H10" s="45">
        <v>4952.53</v>
      </c>
      <c r="I10" s="45"/>
      <c r="J10" s="45"/>
      <c r="K10" s="45" t="s">
        <v>998</v>
      </c>
    </row>
    <row r="11" spans="1:15" ht="42" x14ac:dyDescent="0.3">
      <c r="A11" s="45"/>
      <c r="B11" s="251" t="s">
        <v>967</v>
      </c>
      <c r="C11" s="45">
        <v>1</v>
      </c>
      <c r="D11" s="45">
        <v>3737.69</v>
      </c>
      <c r="E11" s="45" t="s">
        <v>966</v>
      </c>
      <c r="F11" s="252" t="s">
        <v>281</v>
      </c>
      <c r="G11" s="45" t="s">
        <v>965</v>
      </c>
      <c r="H11" s="45">
        <v>3737.69</v>
      </c>
      <c r="I11" s="45"/>
      <c r="J11" s="45"/>
      <c r="K11" s="45" t="s">
        <v>998</v>
      </c>
    </row>
    <row r="12" spans="1:15" ht="15.5" x14ac:dyDescent="0.35">
      <c r="A12" s="8"/>
      <c r="B12" s="8"/>
      <c r="C12" s="8"/>
      <c r="D12" s="8"/>
      <c r="E12" s="8"/>
      <c r="F12" s="8"/>
      <c r="G12" s="8"/>
      <c r="H12" s="8"/>
      <c r="I12" s="8"/>
      <c r="J12" s="8"/>
      <c r="K12" s="8"/>
    </row>
    <row r="13" spans="1:15" ht="31.5" customHeight="1" x14ac:dyDescent="0.35">
      <c r="A13" s="814" t="s">
        <v>973</v>
      </c>
      <c r="B13" s="815"/>
      <c r="C13" s="815"/>
      <c r="D13" s="815"/>
      <c r="E13" s="815"/>
      <c r="F13" s="815"/>
      <c r="G13" s="815"/>
      <c r="H13" s="815"/>
      <c r="I13" s="815"/>
      <c r="J13" s="815"/>
      <c r="K13" s="816"/>
      <c r="O13" s="813"/>
    </row>
    <row r="14" spans="1:15" ht="22.5" customHeight="1" x14ac:dyDescent="0.35">
      <c r="A14" s="817"/>
      <c r="B14" s="818"/>
      <c r="C14" s="818"/>
      <c r="D14" s="818"/>
      <c r="E14" s="818"/>
      <c r="F14" s="818"/>
      <c r="G14" s="818"/>
      <c r="H14" s="818"/>
      <c r="I14" s="818"/>
      <c r="J14" s="818"/>
      <c r="K14" s="819"/>
      <c r="O14" s="813"/>
    </row>
  </sheetData>
  <mergeCells count="12">
    <mergeCell ref="O13:O14"/>
    <mergeCell ref="K6:K7"/>
    <mergeCell ref="A13:K14"/>
    <mergeCell ref="A4:K4"/>
    <mergeCell ref="A5:D5"/>
    <mergeCell ref="E5:K5"/>
    <mergeCell ref="A6:A7"/>
    <mergeCell ref="B6:B7"/>
    <mergeCell ref="C6:C7"/>
    <mergeCell ref="D6:D7"/>
    <mergeCell ref="E6:H6"/>
    <mergeCell ref="I6:J6"/>
  </mergeCells>
  <pageMargins left="0.7" right="0.7" top="0.75" bottom="0.75" header="0.3" footer="0.3"/>
  <pageSetup paperSize="9" scale="3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83A3-9A6F-4B9A-AD05-4CF9C8F2908D}">
  <sheetPr>
    <tabColor rgb="FF92D050"/>
  </sheetPr>
  <dimension ref="A1:M13"/>
  <sheetViews>
    <sheetView view="pageBreakPreview" zoomScale="60" zoomScaleNormal="80" workbookViewId="0">
      <selection activeCell="M12" sqref="M12"/>
    </sheetView>
  </sheetViews>
  <sheetFormatPr defaultColWidth="9.1796875" defaultRowHeight="14" x14ac:dyDescent="0.35"/>
  <cols>
    <col min="1" max="1" width="33.1796875" style="11" customWidth="1"/>
    <col min="2" max="3" width="35.54296875" style="11" customWidth="1"/>
    <col min="4" max="4" width="14.26953125" style="11" customWidth="1"/>
    <col min="5" max="5" width="16.81640625" style="11" customWidth="1"/>
    <col min="6" max="7" width="14.1796875" style="11" customWidth="1"/>
    <col min="8" max="8" width="21" style="11" customWidth="1"/>
    <col min="9" max="9" width="14.26953125" style="11" customWidth="1"/>
    <col min="10" max="10" width="14.54296875" style="11" customWidth="1"/>
    <col min="11" max="11" width="14.1796875" style="11" customWidth="1"/>
    <col min="12" max="12" width="32.81640625" style="11" customWidth="1"/>
    <col min="13" max="13" width="14.1796875" style="10" customWidth="1"/>
    <col min="14" max="16" width="10" style="11" bestFit="1" customWidth="1"/>
    <col min="17" max="16384" width="9.1796875" style="11"/>
  </cols>
  <sheetData>
    <row r="1" spans="1:12" ht="15.5" x14ac:dyDescent="0.35">
      <c r="A1" s="8"/>
      <c r="B1" s="8"/>
      <c r="C1" s="8"/>
      <c r="D1" s="8"/>
      <c r="E1" s="8"/>
      <c r="F1" s="8"/>
      <c r="G1" s="8"/>
      <c r="H1" s="8"/>
      <c r="I1" s="8"/>
      <c r="J1" s="8"/>
      <c r="K1" s="8"/>
      <c r="L1" s="9"/>
    </row>
    <row r="2" spans="1:12" ht="15.5" x14ac:dyDescent="0.35">
      <c r="A2" s="588" t="s">
        <v>977</v>
      </c>
      <c r="B2" s="588"/>
      <c r="C2" s="8"/>
      <c r="D2" s="8"/>
      <c r="E2" s="8"/>
      <c r="F2" s="8"/>
      <c r="G2" s="8"/>
      <c r="H2" s="8"/>
      <c r="I2" s="8"/>
      <c r="J2" s="8"/>
      <c r="K2" s="8"/>
      <c r="L2" s="9"/>
    </row>
    <row r="3" spans="1:12" ht="15.5" x14ac:dyDescent="0.35">
      <c r="A3" s="8"/>
      <c r="B3" s="8"/>
      <c r="C3" s="8"/>
      <c r="D3" s="8"/>
      <c r="E3" s="8"/>
      <c r="F3" s="8"/>
      <c r="G3" s="8"/>
      <c r="H3" s="8"/>
      <c r="I3" s="8"/>
      <c r="J3" s="8"/>
      <c r="K3" s="8"/>
      <c r="L3" s="9"/>
    </row>
    <row r="4" spans="1:12" ht="17.5" x14ac:dyDescent="0.35">
      <c r="A4" s="812" t="s">
        <v>9</v>
      </c>
      <c r="B4" s="812"/>
      <c r="C4" s="812"/>
      <c r="D4" s="812"/>
      <c r="E4" s="591"/>
      <c r="F4" s="591"/>
      <c r="G4" s="591"/>
      <c r="H4" s="591"/>
      <c r="I4" s="591"/>
      <c r="J4" s="591"/>
      <c r="K4" s="591"/>
      <c r="L4" s="592"/>
    </row>
    <row r="5" spans="1:12" ht="15" x14ac:dyDescent="0.35">
      <c r="A5" s="593" t="s">
        <v>48</v>
      </c>
      <c r="B5" s="594"/>
      <c r="C5" s="594"/>
      <c r="D5" s="594"/>
      <c r="E5" s="595"/>
      <c r="F5" s="593" t="s">
        <v>9</v>
      </c>
      <c r="G5" s="594"/>
      <c r="H5" s="594"/>
      <c r="I5" s="594"/>
      <c r="J5" s="594"/>
      <c r="K5" s="594"/>
      <c r="L5" s="595"/>
    </row>
    <row r="6" spans="1:12" ht="15" x14ac:dyDescent="0.35">
      <c r="A6" s="604" t="s">
        <v>10</v>
      </c>
      <c r="B6" s="604" t="s">
        <v>46</v>
      </c>
      <c r="C6" s="604" t="s">
        <v>951</v>
      </c>
      <c r="D6" s="604" t="s">
        <v>11</v>
      </c>
      <c r="E6" s="604" t="s">
        <v>12</v>
      </c>
      <c r="F6" s="593" t="s">
        <v>946</v>
      </c>
      <c r="G6" s="594"/>
      <c r="H6" s="594"/>
      <c r="I6" s="595"/>
      <c r="J6" s="643" t="s">
        <v>13</v>
      </c>
      <c r="K6" s="811"/>
      <c r="L6" s="604" t="s">
        <v>947</v>
      </c>
    </row>
    <row r="7" spans="1:12" ht="30" x14ac:dyDescent="0.35">
      <c r="A7" s="597"/>
      <c r="B7" s="597"/>
      <c r="C7" s="597"/>
      <c r="D7" s="597"/>
      <c r="E7" s="597"/>
      <c r="F7" s="12" t="s">
        <v>14</v>
      </c>
      <c r="G7" s="12" t="s">
        <v>15</v>
      </c>
      <c r="H7" s="12" t="s">
        <v>16</v>
      </c>
      <c r="I7" s="12" t="s">
        <v>17</v>
      </c>
      <c r="J7" s="12" t="s">
        <v>6</v>
      </c>
      <c r="K7" s="12" t="s">
        <v>0</v>
      </c>
      <c r="L7" s="597"/>
    </row>
    <row r="8" spans="1:12" ht="15" x14ac:dyDescent="0.35">
      <c r="A8" s="13" t="s">
        <v>18</v>
      </c>
      <c r="B8" s="14"/>
      <c r="C8" s="14"/>
      <c r="D8" s="14"/>
      <c r="E8" s="14">
        <f>E9+E10</f>
        <v>8690.2199999999993</v>
      </c>
      <c r="F8" s="14"/>
      <c r="G8" s="14"/>
      <c r="H8" s="14"/>
      <c r="I8" s="14">
        <f>I9+I10</f>
        <v>8690.2199999999993</v>
      </c>
      <c r="J8" s="14"/>
      <c r="K8" s="14"/>
      <c r="L8" s="14"/>
    </row>
    <row r="9" spans="1:12" ht="42" x14ac:dyDescent="0.3">
      <c r="A9" s="248"/>
      <c r="B9" s="189" t="s">
        <v>968</v>
      </c>
      <c r="C9" s="189" t="s">
        <v>981</v>
      </c>
      <c r="D9" s="248">
        <v>1</v>
      </c>
      <c r="E9" s="248">
        <v>4952.53</v>
      </c>
      <c r="F9" s="248" t="s">
        <v>966</v>
      </c>
      <c r="G9" s="554" t="s">
        <v>281</v>
      </c>
      <c r="H9" s="248" t="s">
        <v>965</v>
      </c>
      <c r="I9" s="248">
        <v>4952.53</v>
      </c>
      <c r="J9" s="248"/>
      <c r="K9" s="248"/>
      <c r="L9" s="247" t="s">
        <v>998</v>
      </c>
    </row>
    <row r="10" spans="1:12" ht="42" x14ac:dyDescent="0.3">
      <c r="A10" s="248"/>
      <c r="B10" s="189" t="s">
        <v>967</v>
      </c>
      <c r="C10" s="189" t="s">
        <v>981</v>
      </c>
      <c r="D10" s="248">
        <v>1</v>
      </c>
      <c r="E10" s="248">
        <v>3737.69</v>
      </c>
      <c r="F10" s="248" t="s">
        <v>966</v>
      </c>
      <c r="G10" s="554" t="s">
        <v>281</v>
      </c>
      <c r="H10" s="248" t="s">
        <v>965</v>
      </c>
      <c r="I10" s="248">
        <v>3737.69</v>
      </c>
      <c r="J10" s="248"/>
      <c r="K10" s="248"/>
      <c r="L10" s="247" t="s">
        <v>998</v>
      </c>
    </row>
    <row r="11" spans="1:12" ht="15.5" x14ac:dyDescent="0.35">
      <c r="A11" s="8"/>
      <c r="B11" s="8"/>
      <c r="C11" s="8"/>
      <c r="D11" s="8"/>
      <c r="E11" s="8"/>
      <c r="F11" s="8"/>
      <c r="G11" s="8"/>
      <c r="H11" s="8"/>
      <c r="I11" s="8"/>
      <c r="J11" s="8"/>
      <c r="K11" s="8"/>
      <c r="L11" s="8"/>
    </row>
    <row r="12" spans="1:12" ht="42.75" customHeight="1" x14ac:dyDescent="0.35">
      <c r="A12" s="814" t="s">
        <v>973</v>
      </c>
      <c r="B12" s="815"/>
      <c r="C12" s="815"/>
      <c r="D12" s="815"/>
      <c r="E12" s="815"/>
      <c r="F12" s="815"/>
      <c r="G12" s="815"/>
      <c r="H12" s="815"/>
      <c r="I12" s="815"/>
      <c r="J12" s="815"/>
      <c r="K12" s="815"/>
      <c r="L12" s="816"/>
    </row>
    <row r="13" spans="1:12" ht="45" customHeight="1" x14ac:dyDescent="0.35">
      <c r="A13" s="817"/>
      <c r="B13" s="818"/>
      <c r="C13" s="818"/>
      <c r="D13" s="818"/>
      <c r="E13" s="818"/>
      <c r="F13" s="818"/>
      <c r="G13" s="818"/>
      <c r="H13" s="818"/>
      <c r="I13" s="818"/>
      <c r="J13" s="818"/>
      <c r="K13" s="818"/>
      <c r="L13" s="819"/>
    </row>
  </sheetData>
  <mergeCells count="13">
    <mergeCell ref="L6:L7"/>
    <mergeCell ref="C6:C7"/>
    <mergeCell ref="A2:B2"/>
    <mergeCell ref="A12:L13"/>
    <mergeCell ref="A4:L4"/>
    <mergeCell ref="A5:E5"/>
    <mergeCell ref="F5:L5"/>
    <mergeCell ref="A6:A7"/>
    <mergeCell ref="B6:B7"/>
    <mergeCell ref="D6:D7"/>
    <mergeCell ref="E6:E7"/>
    <mergeCell ref="F6:I6"/>
    <mergeCell ref="J6:K6"/>
  </mergeCells>
  <pageMargins left="0.7" right="0.7" top="0.75" bottom="0.75" header="0.3" footer="0.3"/>
  <pageSetup paperSize="9" scale="33"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FAA1-913B-4927-91C3-E077C488B42C}">
  <sheetPr>
    <tabColor rgb="FF92D050"/>
  </sheetPr>
  <dimension ref="A1:M15"/>
  <sheetViews>
    <sheetView view="pageBreakPreview" zoomScale="60" zoomScaleNormal="80" workbookViewId="0">
      <selection activeCell="F20" sqref="F20"/>
    </sheetView>
  </sheetViews>
  <sheetFormatPr defaultColWidth="9.1796875" defaultRowHeight="14" x14ac:dyDescent="0.35"/>
  <cols>
    <col min="1" max="1" width="33.1796875" style="11" customWidth="1"/>
    <col min="2" max="3" width="35.54296875" style="11" customWidth="1"/>
    <col min="4" max="4" width="14.26953125" style="11" customWidth="1"/>
    <col min="5" max="5" width="16.81640625" style="11" customWidth="1"/>
    <col min="6" max="7" width="14.1796875" style="11" customWidth="1"/>
    <col min="8" max="8" width="21" style="11" customWidth="1"/>
    <col min="9" max="9" width="14.26953125" style="11" customWidth="1"/>
    <col min="10" max="10" width="14.54296875" style="11" customWidth="1"/>
    <col min="11" max="11" width="14.1796875" style="11" customWidth="1"/>
    <col min="12" max="12" width="32.81640625" style="11" customWidth="1"/>
    <col min="13" max="13" width="14.1796875" style="10" customWidth="1"/>
    <col min="14" max="16" width="10" style="11" bestFit="1" customWidth="1"/>
    <col min="17" max="16384" width="9.1796875" style="11"/>
  </cols>
  <sheetData>
    <row r="1" spans="1:12" ht="15.5" x14ac:dyDescent="0.35">
      <c r="A1" s="8"/>
      <c r="B1" s="8"/>
      <c r="C1" s="8"/>
      <c r="D1" s="8"/>
      <c r="E1" s="8"/>
      <c r="F1" s="8"/>
      <c r="G1" s="8"/>
      <c r="H1" s="8"/>
      <c r="I1" s="8"/>
      <c r="J1" s="8"/>
      <c r="K1" s="8"/>
      <c r="L1" s="9"/>
    </row>
    <row r="2" spans="1:12" ht="31" x14ac:dyDescent="0.35">
      <c r="A2" s="8" t="s">
        <v>978</v>
      </c>
      <c r="B2" s="8"/>
      <c r="C2" s="8"/>
      <c r="D2" s="8"/>
      <c r="E2" s="8"/>
      <c r="F2" s="8"/>
      <c r="G2" s="8"/>
      <c r="H2" s="8"/>
      <c r="I2" s="8"/>
      <c r="J2" s="8"/>
      <c r="K2" s="8"/>
      <c r="L2" s="9"/>
    </row>
    <row r="3" spans="1:12" ht="15.5" x14ac:dyDescent="0.35">
      <c r="A3" s="8"/>
      <c r="B3" s="8"/>
      <c r="C3" s="8"/>
      <c r="D3" s="8"/>
      <c r="E3" s="8"/>
      <c r="F3" s="8"/>
      <c r="G3" s="8"/>
      <c r="H3" s="8"/>
      <c r="I3" s="8"/>
      <c r="J3" s="8"/>
      <c r="K3" s="8"/>
      <c r="L3" s="9"/>
    </row>
    <row r="4" spans="1:12" ht="17.5" x14ac:dyDescent="0.35">
      <c r="A4" s="812" t="s">
        <v>9</v>
      </c>
      <c r="B4" s="812"/>
      <c r="C4" s="812"/>
      <c r="D4" s="812"/>
      <c r="E4" s="591"/>
      <c r="F4" s="591"/>
      <c r="G4" s="591"/>
      <c r="H4" s="591"/>
      <c r="I4" s="591"/>
      <c r="J4" s="591"/>
      <c r="K4" s="591"/>
      <c r="L4" s="592"/>
    </row>
    <row r="5" spans="1:12" ht="15" x14ac:dyDescent="0.35">
      <c r="A5" s="593" t="s">
        <v>48</v>
      </c>
      <c r="B5" s="594"/>
      <c r="C5" s="594"/>
      <c r="D5" s="594"/>
      <c r="E5" s="595"/>
      <c r="F5" s="593" t="s">
        <v>9</v>
      </c>
      <c r="G5" s="594"/>
      <c r="H5" s="594"/>
      <c r="I5" s="594"/>
      <c r="J5" s="594"/>
      <c r="K5" s="594"/>
      <c r="L5" s="595"/>
    </row>
    <row r="6" spans="1:12" ht="15" x14ac:dyDescent="0.35">
      <c r="A6" s="604" t="s">
        <v>10</v>
      </c>
      <c r="B6" s="604" t="s">
        <v>46</v>
      </c>
      <c r="C6" s="604" t="s">
        <v>951</v>
      </c>
      <c r="D6" s="604" t="s">
        <v>11</v>
      </c>
      <c r="E6" s="604" t="s">
        <v>12</v>
      </c>
      <c r="F6" s="593" t="s">
        <v>946</v>
      </c>
      <c r="G6" s="594"/>
      <c r="H6" s="594"/>
      <c r="I6" s="595"/>
      <c r="J6" s="643" t="s">
        <v>13</v>
      </c>
      <c r="K6" s="811"/>
      <c r="L6" s="604" t="s">
        <v>947</v>
      </c>
    </row>
    <row r="7" spans="1:12" ht="30" x14ac:dyDescent="0.35">
      <c r="A7" s="597"/>
      <c r="B7" s="597"/>
      <c r="C7" s="597"/>
      <c r="D7" s="597"/>
      <c r="E7" s="597"/>
      <c r="F7" s="12" t="s">
        <v>14</v>
      </c>
      <c r="G7" s="12" t="s">
        <v>15</v>
      </c>
      <c r="H7" s="12" t="s">
        <v>16</v>
      </c>
      <c r="I7" s="12" t="s">
        <v>17</v>
      </c>
      <c r="J7" s="12" t="s">
        <v>6</v>
      </c>
      <c r="K7" s="12" t="s">
        <v>0</v>
      </c>
      <c r="L7" s="597"/>
    </row>
    <row r="8" spans="1:12" ht="15" x14ac:dyDescent="0.35">
      <c r="A8" s="13" t="s">
        <v>18</v>
      </c>
      <c r="B8" s="14"/>
      <c r="C8" s="14"/>
      <c r="D8" s="14"/>
      <c r="E8" s="14">
        <f>E9+E10</f>
        <v>64476.06</v>
      </c>
      <c r="F8" s="14"/>
      <c r="G8" s="14"/>
      <c r="H8" s="14"/>
      <c r="I8" s="14">
        <f>SUM(I9:I10)</f>
        <v>64476.06</v>
      </c>
      <c r="J8" s="14"/>
      <c r="K8" s="14"/>
      <c r="L8" s="14"/>
    </row>
    <row r="9" spans="1:12" ht="42" x14ac:dyDescent="0.3">
      <c r="A9" s="248"/>
      <c r="B9" s="189" t="s">
        <v>968</v>
      </c>
      <c r="C9" s="189" t="s">
        <v>981</v>
      </c>
      <c r="D9" s="248">
        <v>10</v>
      </c>
      <c r="E9" s="248">
        <v>49525.299999999996</v>
      </c>
      <c r="F9" s="248" t="s">
        <v>966</v>
      </c>
      <c r="G9" s="554" t="s">
        <v>281</v>
      </c>
      <c r="H9" s="248" t="s">
        <v>965</v>
      </c>
      <c r="I9" s="248">
        <v>49525.299999999996</v>
      </c>
      <c r="J9" s="248"/>
      <c r="K9" s="248"/>
      <c r="L9" s="247" t="s">
        <v>998</v>
      </c>
    </row>
    <row r="10" spans="1:12" ht="42" x14ac:dyDescent="0.3">
      <c r="A10" s="248"/>
      <c r="B10" s="189" t="s">
        <v>967</v>
      </c>
      <c r="C10" s="189" t="s">
        <v>981</v>
      </c>
      <c r="D10" s="248">
        <v>4</v>
      </c>
      <c r="E10" s="248">
        <v>14950.76</v>
      </c>
      <c r="F10" s="248" t="s">
        <v>966</v>
      </c>
      <c r="G10" s="554" t="s">
        <v>281</v>
      </c>
      <c r="H10" s="248" t="s">
        <v>965</v>
      </c>
      <c r="I10" s="248">
        <v>14950.76</v>
      </c>
      <c r="J10" s="248"/>
      <c r="K10" s="248"/>
      <c r="L10" s="248" t="s">
        <v>998</v>
      </c>
    </row>
    <row r="11" spans="1:12" ht="15.5" x14ac:dyDescent="0.35">
      <c r="A11" s="8"/>
      <c r="B11" s="8"/>
      <c r="C11" s="8"/>
      <c r="D11" s="8"/>
      <c r="E11" s="8"/>
      <c r="F11" s="8"/>
      <c r="G11" s="8"/>
      <c r="H11" s="8"/>
      <c r="I11" s="8"/>
      <c r="J11" s="8"/>
      <c r="K11" s="8"/>
      <c r="L11" s="8"/>
    </row>
    <row r="12" spans="1:12" ht="42.75" customHeight="1" x14ac:dyDescent="0.35">
      <c r="A12" s="814" t="s">
        <v>973</v>
      </c>
      <c r="B12" s="790"/>
      <c r="C12" s="790"/>
      <c r="D12" s="790"/>
      <c r="E12" s="790"/>
      <c r="F12" s="790"/>
      <c r="G12" s="790"/>
      <c r="H12" s="790"/>
      <c r="I12" s="790"/>
      <c r="J12" s="790"/>
      <c r="K12" s="790"/>
      <c r="L12" s="791"/>
    </row>
    <row r="13" spans="1:12" ht="45" customHeight="1" x14ac:dyDescent="0.35">
      <c r="A13" s="146"/>
      <c r="B13" s="146"/>
      <c r="C13" s="146"/>
      <c r="D13" s="146"/>
      <c r="E13" s="146"/>
      <c r="F13" s="146"/>
      <c r="G13" s="146"/>
      <c r="H13" s="146"/>
      <c r="I13" s="146"/>
      <c r="J13" s="146"/>
      <c r="K13" s="146"/>
      <c r="L13" s="146"/>
    </row>
    <row r="14" spans="1:12" x14ac:dyDescent="0.35">
      <c r="A14" s="174"/>
      <c r="B14" s="174"/>
      <c r="C14" s="174"/>
      <c r="D14" s="174"/>
      <c r="E14" s="174"/>
      <c r="F14" s="174"/>
      <c r="G14" s="174"/>
      <c r="H14" s="174"/>
      <c r="I14" s="174"/>
      <c r="J14" s="174"/>
      <c r="K14" s="174"/>
      <c r="L14" s="174"/>
    </row>
    <row r="15" spans="1:12" x14ac:dyDescent="0.35">
      <c r="A15" s="174"/>
      <c r="B15" s="174"/>
      <c r="C15" s="174"/>
      <c r="D15" s="174"/>
      <c r="E15" s="174"/>
      <c r="F15" s="174"/>
      <c r="G15" s="174"/>
      <c r="H15" s="174"/>
      <c r="I15" s="174"/>
      <c r="J15" s="174"/>
      <c r="K15" s="174"/>
      <c r="L15" s="174"/>
    </row>
  </sheetData>
  <mergeCells count="12">
    <mergeCell ref="A12:L12"/>
    <mergeCell ref="L6:L7"/>
    <mergeCell ref="C6:C7"/>
    <mergeCell ref="A4:L4"/>
    <mergeCell ref="A5:E5"/>
    <mergeCell ref="F5:L5"/>
    <mergeCell ref="A6:A7"/>
    <mergeCell ref="B6:B7"/>
    <mergeCell ref="D6:D7"/>
    <mergeCell ref="E6:E7"/>
    <mergeCell ref="F6:I6"/>
    <mergeCell ref="J6:K6"/>
  </mergeCells>
  <pageMargins left="0.7" right="0.7" top="0.75" bottom="0.75" header="0.3" footer="0.3"/>
  <pageSetup paperSize="9" scale="33"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91C2-EF8B-4A28-A2C5-7CB0D8F85BE2}">
  <sheetPr>
    <tabColor rgb="FF00B0F0"/>
  </sheetPr>
  <dimension ref="A1:O48"/>
  <sheetViews>
    <sheetView view="pageBreakPreview" topLeftCell="A46" zoomScale="60" zoomScaleNormal="80" workbookViewId="0">
      <selection activeCell="O10" sqref="O10"/>
    </sheetView>
  </sheetViews>
  <sheetFormatPr defaultColWidth="9.1796875" defaultRowHeight="14" x14ac:dyDescent="0.35"/>
  <cols>
    <col min="1" max="1" width="18.81640625" style="11" customWidth="1"/>
    <col min="2" max="2" width="10" style="11" customWidth="1"/>
    <col min="3" max="3" width="79.54296875" style="11" customWidth="1"/>
    <col min="4" max="4" width="26" style="11" customWidth="1"/>
    <col min="5" max="5" width="7.7265625" style="11" customWidth="1"/>
    <col min="6" max="6" width="15.7265625" style="33" customWidth="1"/>
    <col min="7" max="7" width="19.81640625" style="11" customWidth="1"/>
    <col min="8" max="8" width="12.81640625" style="11" customWidth="1"/>
    <col min="9" max="9" width="23.26953125" style="11" customWidth="1"/>
    <col min="10" max="10" width="12" style="33" customWidth="1"/>
    <col min="11" max="11" width="16.7265625" style="33" customWidth="1"/>
    <col min="12" max="12" width="14.54296875" style="102" customWidth="1"/>
    <col min="13" max="13" width="14.1796875" style="103" customWidth="1"/>
    <col min="14" max="14" width="42.1796875" style="11" customWidth="1"/>
    <col min="15" max="15" width="25" style="35" customWidth="1"/>
    <col min="16" max="16384" width="9.1796875" style="11"/>
  </cols>
  <sheetData>
    <row r="1" spans="1:15" ht="15.5" x14ac:dyDescent="0.35">
      <c r="B1" s="588"/>
      <c r="C1" s="588"/>
      <c r="D1" s="126"/>
      <c r="E1" s="8"/>
      <c r="F1" s="97"/>
      <c r="G1" s="8"/>
      <c r="H1" s="8"/>
      <c r="I1" s="147"/>
      <c r="J1" s="148"/>
      <c r="K1" s="148"/>
      <c r="L1" s="149"/>
      <c r="M1" s="99"/>
      <c r="N1" s="9"/>
    </row>
    <row r="2" spans="1:15" ht="15.5" x14ac:dyDescent="0.35">
      <c r="A2" s="605" t="s">
        <v>691</v>
      </c>
      <c r="B2" s="605"/>
      <c r="C2" s="605"/>
      <c r="D2" s="146"/>
      <c r="E2" s="8"/>
      <c r="F2" s="97"/>
      <c r="G2" s="8"/>
      <c r="H2" s="8"/>
      <c r="I2" s="147"/>
      <c r="J2" s="148"/>
      <c r="K2" s="148"/>
      <c r="L2" s="149"/>
      <c r="M2" s="99"/>
      <c r="N2" s="9"/>
    </row>
    <row r="3" spans="1:15" ht="15.5" x14ac:dyDescent="0.35">
      <c r="B3" s="34"/>
      <c r="C3" s="8"/>
      <c r="D3" s="8"/>
      <c r="E3" s="8"/>
      <c r="F3" s="97"/>
      <c r="G3" s="8"/>
      <c r="H3" s="8"/>
      <c r="I3" s="147"/>
      <c r="J3" s="148"/>
      <c r="K3" s="148"/>
      <c r="L3" s="149"/>
      <c r="M3" s="99"/>
      <c r="N3" s="9"/>
    </row>
    <row r="4" spans="1:15" ht="17.5" x14ac:dyDescent="0.35">
      <c r="B4" s="589" t="s">
        <v>9</v>
      </c>
      <c r="C4" s="589"/>
      <c r="D4" s="589"/>
      <c r="E4" s="589"/>
      <c r="F4" s="590"/>
      <c r="G4" s="591"/>
      <c r="H4" s="591"/>
      <c r="I4" s="591"/>
      <c r="J4" s="591"/>
      <c r="K4" s="591"/>
      <c r="L4" s="591"/>
      <c r="M4" s="591"/>
      <c r="N4" s="592"/>
    </row>
    <row r="5" spans="1:15" ht="15.75" customHeight="1" x14ac:dyDescent="0.35">
      <c r="A5" s="600" t="s">
        <v>48</v>
      </c>
      <c r="B5" s="600"/>
      <c r="C5" s="600"/>
      <c r="D5" s="600"/>
      <c r="E5" s="600"/>
      <c r="F5" s="600"/>
      <c r="G5" s="593" t="s">
        <v>9</v>
      </c>
      <c r="H5" s="594"/>
      <c r="I5" s="594"/>
      <c r="J5" s="594"/>
      <c r="K5" s="594"/>
      <c r="L5" s="594"/>
      <c r="M5" s="594"/>
      <c r="N5" s="595"/>
    </row>
    <row r="6" spans="1:15" ht="15.75" customHeight="1" x14ac:dyDescent="0.35">
      <c r="A6" s="604" t="s">
        <v>950</v>
      </c>
      <c r="B6" s="596" t="s">
        <v>10</v>
      </c>
      <c r="C6" s="596" t="s">
        <v>46</v>
      </c>
      <c r="D6" s="604" t="s">
        <v>951</v>
      </c>
      <c r="E6" s="596" t="s">
        <v>11</v>
      </c>
      <c r="F6" s="598" t="s">
        <v>12</v>
      </c>
      <c r="G6" s="593" t="s">
        <v>946</v>
      </c>
      <c r="H6" s="594"/>
      <c r="I6" s="594"/>
      <c r="J6" s="595"/>
      <c r="K6" s="601" t="s">
        <v>948</v>
      </c>
      <c r="L6" s="602"/>
      <c r="M6" s="603"/>
      <c r="N6" s="604" t="s">
        <v>947</v>
      </c>
    </row>
    <row r="7" spans="1:15" ht="45" x14ac:dyDescent="0.35">
      <c r="A7" s="597"/>
      <c r="B7" s="597"/>
      <c r="C7" s="597"/>
      <c r="D7" s="597"/>
      <c r="E7" s="597"/>
      <c r="F7" s="599"/>
      <c r="G7" s="12" t="s">
        <v>14</v>
      </c>
      <c r="H7" s="12" t="s">
        <v>15</v>
      </c>
      <c r="I7" s="12" t="s">
        <v>16</v>
      </c>
      <c r="J7" s="100" t="s">
        <v>692</v>
      </c>
      <c r="K7" s="12" t="s">
        <v>952</v>
      </c>
      <c r="L7" s="12" t="s">
        <v>953</v>
      </c>
      <c r="M7" s="12" t="s">
        <v>954</v>
      </c>
      <c r="N7" s="597"/>
    </row>
    <row r="8" spans="1:15" ht="15" x14ac:dyDescent="0.35">
      <c r="A8" s="575" t="s">
        <v>18</v>
      </c>
      <c r="B8" s="576"/>
      <c r="C8" s="14"/>
      <c r="D8" s="29"/>
      <c r="E8" s="29"/>
      <c r="F8" s="101">
        <f>SUM(F9:F43)</f>
        <v>820396.81</v>
      </c>
      <c r="G8" s="29"/>
      <c r="H8" s="14"/>
      <c r="I8" s="14"/>
      <c r="J8" s="32">
        <f>SUM(J9:J43)</f>
        <v>690999.11</v>
      </c>
      <c r="K8" s="32"/>
      <c r="L8" s="77">
        <f>SUM(L9:L43)</f>
        <v>572390.24</v>
      </c>
      <c r="M8" s="77"/>
      <c r="N8" s="14"/>
      <c r="O8" s="131"/>
    </row>
    <row r="9" spans="1:15" ht="42" x14ac:dyDescent="0.35">
      <c r="A9" s="324" t="s">
        <v>1017</v>
      </c>
      <c r="B9" s="215">
        <v>1</v>
      </c>
      <c r="C9" s="213" t="s">
        <v>254</v>
      </c>
      <c r="D9" s="213" t="s">
        <v>981</v>
      </c>
      <c r="E9" s="215">
        <v>1</v>
      </c>
      <c r="F9" s="219">
        <v>11858</v>
      </c>
      <c r="G9" s="215" t="s">
        <v>941</v>
      </c>
      <c r="H9" s="215" t="s">
        <v>505</v>
      </c>
      <c r="I9" s="215" t="s">
        <v>287</v>
      </c>
      <c r="J9" s="219">
        <v>9425.9</v>
      </c>
      <c r="K9" s="215">
        <v>1189</v>
      </c>
      <c r="L9" s="219">
        <v>9425.9</v>
      </c>
      <c r="M9" s="213"/>
      <c r="N9" s="224" t="s">
        <v>942</v>
      </c>
      <c r="O9" s="123"/>
    </row>
    <row r="10" spans="1:15" ht="42" x14ac:dyDescent="0.35">
      <c r="A10" s="324" t="s">
        <v>1023</v>
      </c>
      <c r="B10" s="215">
        <v>2</v>
      </c>
      <c r="C10" s="213" t="s">
        <v>945</v>
      </c>
      <c r="D10" s="213" t="s">
        <v>981</v>
      </c>
      <c r="E10" s="215">
        <v>20</v>
      </c>
      <c r="F10" s="219">
        <v>9440</v>
      </c>
      <c r="G10" s="215" t="s">
        <v>693</v>
      </c>
      <c r="H10" s="215" t="s">
        <v>687</v>
      </c>
      <c r="I10" s="215" t="s">
        <v>694</v>
      </c>
      <c r="J10" s="219">
        <f>11543.4/30*20</f>
        <v>7695.5999999999995</v>
      </c>
      <c r="K10" s="315">
        <v>1581</v>
      </c>
      <c r="L10" s="219">
        <v>7695.6</v>
      </c>
      <c r="M10" s="316"/>
      <c r="N10" s="224" t="s">
        <v>695</v>
      </c>
    </row>
    <row r="11" spans="1:15" ht="15.5" x14ac:dyDescent="0.35">
      <c r="A11" s="581" t="s">
        <v>1020</v>
      </c>
      <c r="B11" s="579">
        <v>3</v>
      </c>
      <c r="C11" s="585" t="s">
        <v>255</v>
      </c>
      <c r="D11" s="213" t="s">
        <v>981</v>
      </c>
      <c r="E11" s="579">
        <v>60</v>
      </c>
      <c r="F11" s="583">
        <v>72000</v>
      </c>
      <c r="G11" s="215" t="s">
        <v>837</v>
      </c>
      <c r="H11" s="215" t="s">
        <v>801</v>
      </c>
      <c r="I11" s="215" t="s">
        <v>287</v>
      </c>
      <c r="J11" s="219">
        <v>55698.720000000001</v>
      </c>
      <c r="K11" s="315">
        <v>1924</v>
      </c>
      <c r="L11" s="219">
        <v>55698.720000000001</v>
      </c>
      <c r="M11" s="316"/>
      <c r="N11" s="224" t="s">
        <v>838</v>
      </c>
    </row>
    <row r="12" spans="1:15" ht="15.5" x14ac:dyDescent="0.35">
      <c r="A12" s="582"/>
      <c r="B12" s="580"/>
      <c r="C12" s="586"/>
      <c r="D12" s="213" t="s">
        <v>981</v>
      </c>
      <c r="E12" s="580"/>
      <c r="F12" s="584"/>
      <c r="G12" s="215" t="s">
        <v>839</v>
      </c>
      <c r="H12" s="215" t="s">
        <v>840</v>
      </c>
      <c r="I12" s="215" t="s">
        <v>287</v>
      </c>
      <c r="J12" s="219">
        <v>13924.68</v>
      </c>
      <c r="K12" s="315">
        <v>2293</v>
      </c>
      <c r="L12" s="219">
        <v>13924.68</v>
      </c>
      <c r="M12" s="316"/>
      <c r="N12" s="224" t="s">
        <v>838</v>
      </c>
    </row>
    <row r="13" spans="1:15" ht="15.5" x14ac:dyDescent="0.35">
      <c r="A13" s="581" t="s">
        <v>1022</v>
      </c>
      <c r="B13" s="579">
        <v>4</v>
      </c>
      <c r="C13" s="581" t="s">
        <v>256</v>
      </c>
      <c r="D13" s="213" t="s">
        <v>981</v>
      </c>
      <c r="E13" s="579">
        <v>3</v>
      </c>
      <c r="F13" s="583">
        <v>65550</v>
      </c>
      <c r="G13" s="215" t="s">
        <v>696</v>
      </c>
      <c r="H13" s="215" t="s">
        <v>697</v>
      </c>
      <c r="I13" s="215" t="s">
        <v>540</v>
      </c>
      <c r="J13" s="217">
        <f>13068*2</f>
        <v>26136</v>
      </c>
      <c r="K13" s="325">
        <v>1430</v>
      </c>
      <c r="L13" s="217">
        <f>13068*2</f>
        <v>26136</v>
      </c>
      <c r="M13" s="316"/>
      <c r="N13" s="224" t="s">
        <v>698</v>
      </c>
    </row>
    <row r="14" spans="1:15" ht="15.5" x14ac:dyDescent="0.35">
      <c r="A14" s="582"/>
      <c r="B14" s="580"/>
      <c r="C14" s="582"/>
      <c r="D14" s="213" t="s">
        <v>981</v>
      </c>
      <c r="E14" s="580"/>
      <c r="F14" s="584"/>
      <c r="G14" s="215" t="s">
        <v>699</v>
      </c>
      <c r="H14" s="215" t="s">
        <v>697</v>
      </c>
      <c r="I14" s="215" t="s">
        <v>540</v>
      </c>
      <c r="J14" s="219">
        <f>21296/2</f>
        <v>10648</v>
      </c>
      <c r="K14" s="315">
        <v>1429</v>
      </c>
      <c r="L14" s="219">
        <f>21296/2</f>
        <v>10648</v>
      </c>
      <c r="M14" s="316"/>
      <c r="N14" s="224" t="s">
        <v>698</v>
      </c>
    </row>
    <row r="15" spans="1:15" ht="46.5" x14ac:dyDescent="0.35">
      <c r="A15" s="324" t="s">
        <v>1019</v>
      </c>
      <c r="B15" s="215">
        <v>5</v>
      </c>
      <c r="C15" s="224" t="s">
        <v>700</v>
      </c>
      <c r="D15" s="213" t="s">
        <v>981</v>
      </c>
      <c r="E15" s="215">
        <v>1</v>
      </c>
      <c r="F15" s="219">
        <v>75000</v>
      </c>
      <c r="G15" s="215" t="s">
        <v>701</v>
      </c>
      <c r="H15" s="215" t="s">
        <v>508</v>
      </c>
      <c r="I15" s="215" t="s">
        <v>555</v>
      </c>
      <c r="J15" s="219">
        <v>71390</v>
      </c>
      <c r="K15" s="315">
        <v>1355</v>
      </c>
      <c r="L15" s="219">
        <v>71390</v>
      </c>
      <c r="M15" s="316"/>
      <c r="N15" s="224" t="s">
        <v>702</v>
      </c>
    </row>
    <row r="16" spans="1:15" ht="42" x14ac:dyDescent="0.35">
      <c r="A16" s="324" t="s">
        <v>1018</v>
      </c>
      <c r="B16" s="215">
        <v>6</v>
      </c>
      <c r="C16" s="224" t="s">
        <v>257</v>
      </c>
      <c r="D16" s="213" t="s">
        <v>981</v>
      </c>
      <c r="E16" s="215">
        <v>41</v>
      </c>
      <c r="F16" s="219">
        <v>87330</v>
      </c>
      <c r="G16" s="215" t="s">
        <v>876</v>
      </c>
      <c r="H16" s="215" t="s">
        <v>877</v>
      </c>
      <c r="I16" s="215" t="s">
        <v>878</v>
      </c>
      <c r="J16" s="219">
        <v>38447.75</v>
      </c>
      <c r="K16" s="315">
        <v>3081</v>
      </c>
      <c r="L16" s="219">
        <v>38447.75</v>
      </c>
      <c r="M16" s="316"/>
      <c r="N16" s="224" t="s">
        <v>943</v>
      </c>
    </row>
    <row r="17" spans="1:15" ht="140" x14ac:dyDescent="0.35">
      <c r="A17" s="324" t="s">
        <v>1021</v>
      </c>
      <c r="B17" s="317">
        <v>7</v>
      </c>
      <c r="C17" s="318" t="s">
        <v>258</v>
      </c>
      <c r="D17" s="213" t="s">
        <v>981</v>
      </c>
      <c r="E17" s="319">
        <v>3</v>
      </c>
      <c r="F17" s="320">
        <v>118500</v>
      </c>
      <c r="G17" s="319" t="s">
        <v>841</v>
      </c>
      <c r="H17" s="319" t="s">
        <v>660</v>
      </c>
      <c r="I17" s="319" t="s">
        <v>842</v>
      </c>
      <c r="J17" s="320">
        <v>112124.65</v>
      </c>
      <c r="K17" s="321" t="s">
        <v>843</v>
      </c>
      <c r="L17" s="320">
        <v>112124.65</v>
      </c>
      <c r="M17" s="322"/>
      <c r="N17" s="318" t="s">
        <v>844</v>
      </c>
    </row>
    <row r="18" spans="1:15" ht="15.75" customHeight="1" x14ac:dyDescent="0.35">
      <c r="A18" s="634" t="s">
        <v>1024</v>
      </c>
      <c r="B18" s="587">
        <v>8</v>
      </c>
      <c r="C18" s="620" t="s">
        <v>259</v>
      </c>
      <c r="D18" s="226" t="s">
        <v>981</v>
      </c>
      <c r="E18" s="587">
        <v>6</v>
      </c>
      <c r="F18" s="621">
        <v>52272</v>
      </c>
      <c r="G18" s="587" t="s">
        <v>703</v>
      </c>
      <c r="H18" s="587" t="s">
        <v>704</v>
      </c>
      <c r="I18" s="587" t="s">
        <v>705</v>
      </c>
      <c r="J18" s="577">
        <v>17061</v>
      </c>
      <c r="K18" s="244">
        <v>44</v>
      </c>
      <c r="L18" s="245">
        <v>8530.5</v>
      </c>
      <c r="M18" s="246"/>
      <c r="N18" s="609" t="s">
        <v>998</v>
      </c>
    </row>
    <row r="19" spans="1:15" ht="15.5" x14ac:dyDescent="0.35">
      <c r="A19" s="634"/>
      <c r="B19" s="587"/>
      <c r="C19" s="620"/>
      <c r="D19" s="226" t="s">
        <v>981</v>
      </c>
      <c r="E19" s="587"/>
      <c r="F19" s="621"/>
      <c r="G19" s="587"/>
      <c r="H19" s="587"/>
      <c r="I19" s="587"/>
      <c r="J19" s="578"/>
      <c r="K19" s="244">
        <v>879</v>
      </c>
      <c r="L19" s="245">
        <v>8530.5</v>
      </c>
      <c r="M19" s="246"/>
      <c r="N19" s="610"/>
    </row>
    <row r="20" spans="1:15" ht="31" x14ac:dyDescent="0.35">
      <c r="B20" s="611">
        <v>9</v>
      </c>
      <c r="C20" s="614" t="s">
        <v>260</v>
      </c>
      <c r="D20" s="111" t="s">
        <v>981</v>
      </c>
      <c r="E20" s="611">
        <v>1</v>
      </c>
      <c r="F20" s="617">
        <v>74859.070000000007</v>
      </c>
      <c r="G20" s="611" t="s">
        <v>706</v>
      </c>
      <c r="H20" s="614" t="s">
        <v>282</v>
      </c>
      <c r="I20" s="611" t="s">
        <v>555</v>
      </c>
      <c r="J20" s="617">
        <v>74859.070000000007</v>
      </c>
      <c r="K20" s="156">
        <v>1010</v>
      </c>
      <c r="L20" s="155">
        <v>6238.27</v>
      </c>
      <c r="M20" s="39"/>
      <c r="N20" s="39" t="s">
        <v>960</v>
      </c>
    </row>
    <row r="21" spans="1:15" ht="31" x14ac:dyDescent="0.35">
      <c r="B21" s="612"/>
      <c r="C21" s="615"/>
      <c r="D21" s="111" t="s">
        <v>981</v>
      </c>
      <c r="E21" s="612"/>
      <c r="F21" s="618"/>
      <c r="G21" s="612"/>
      <c r="H21" s="615"/>
      <c r="I21" s="612"/>
      <c r="J21" s="618"/>
      <c r="K21" s="156">
        <v>151</v>
      </c>
      <c r="L21" s="155">
        <v>12476.54</v>
      </c>
      <c r="M21" s="39"/>
      <c r="N21" s="39" t="s">
        <v>960</v>
      </c>
    </row>
    <row r="22" spans="1:15" ht="31" x14ac:dyDescent="0.35">
      <c r="B22" s="612"/>
      <c r="C22" s="615"/>
      <c r="D22" s="111" t="s">
        <v>981</v>
      </c>
      <c r="E22" s="612"/>
      <c r="F22" s="618"/>
      <c r="G22" s="612"/>
      <c r="H22" s="615"/>
      <c r="I22" s="612"/>
      <c r="J22" s="618"/>
      <c r="K22" s="156">
        <v>1986</v>
      </c>
      <c r="L22" s="155">
        <v>6238.27</v>
      </c>
      <c r="M22" s="39"/>
      <c r="N22" s="39" t="s">
        <v>960</v>
      </c>
    </row>
    <row r="23" spans="1:15" ht="31" x14ac:dyDescent="0.35">
      <c r="B23" s="612"/>
      <c r="C23" s="615"/>
      <c r="D23" s="111" t="s">
        <v>981</v>
      </c>
      <c r="E23" s="612"/>
      <c r="F23" s="618"/>
      <c r="G23" s="612"/>
      <c r="H23" s="615"/>
      <c r="I23" s="612"/>
      <c r="J23" s="618"/>
      <c r="K23" s="156">
        <v>3266</v>
      </c>
      <c r="L23" s="155">
        <v>6238.27</v>
      </c>
      <c r="M23" s="39"/>
      <c r="N23" s="39" t="s">
        <v>960</v>
      </c>
    </row>
    <row r="24" spans="1:15" ht="31" x14ac:dyDescent="0.35">
      <c r="B24" s="613"/>
      <c r="C24" s="616"/>
      <c r="D24" s="111" t="s">
        <v>981</v>
      </c>
      <c r="E24" s="613"/>
      <c r="F24" s="619"/>
      <c r="G24" s="613"/>
      <c r="H24" s="616"/>
      <c r="I24" s="613"/>
      <c r="J24" s="619"/>
      <c r="K24" s="156">
        <v>3638</v>
      </c>
      <c r="L24" s="155">
        <v>6238.27</v>
      </c>
      <c r="M24" s="323">
        <f>J20-L20-L21-L22-L23-L24</f>
        <v>37429.449999999997</v>
      </c>
      <c r="N24" s="39" t="s">
        <v>960</v>
      </c>
      <c r="O24" s="173"/>
    </row>
    <row r="25" spans="1:15" ht="31" x14ac:dyDescent="0.35">
      <c r="B25" s="606">
        <v>10</v>
      </c>
      <c r="C25" s="624" t="s">
        <v>254</v>
      </c>
      <c r="D25" s="111" t="s">
        <v>981</v>
      </c>
      <c r="E25" s="606">
        <v>1</v>
      </c>
      <c r="F25" s="622">
        <v>11858</v>
      </c>
      <c r="G25" s="606" t="s">
        <v>707</v>
      </c>
      <c r="H25" s="624" t="s">
        <v>708</v>
      </c>
      <c r="I25" s="606" t="s">
        <v>561</v>
      </c>
      <c r="J25" s="622">
        <v>11858</v>
      </c>
      <c r="K25" s="150">
        <v>6345</v>
      </c>
      <c r="L25" s="81">
        <v>1976.34</v>
      </c>
      <c r="M25" s="39"/>
      <c r="N25" s="39" t="s">
        <v>960</v>
      </c>
    </row>
    <row r="26" spans="1:15" ht="31" x14ac:dyDescent="0.35">
      <c r="B26" s="607"/>
      <c r="C26" s="625"/>
      <c r="D26" s="111" t="s">
        <v>981</v>
      </c>
      <c r="E26" s="607"/>
      <c r="F26" s="627"/>
      <c r="G26" s="607"/>
      <c r="H26" s="625"/>
      <c r="I26" s="607"/>
      <c r="J26" s="627"/>
      <c r="K26" s="150">
        <v>747</v>
      </c>
      <c r="L26" s="81">
        <v>1976.34</v>
      </c>
      <c r="M26" s="39"/>
      <c r="N26" s="39" t="s">
        <v>960</v>
      </c>
    </row>
    <row r="27" spans="1:15" ht="31" x14ac:dyDescent="0.35">
      <c r="B27" s="607"/>
      <c r="C27" s="625"/>
      <c r="D27" s="111" t="s">
        <v>981</v>
      </c>
      <c r="E27" s="607"/>
      <c r="F27" s="627"/>
      <c r="G27" s="607"/>
      <c r="H27" s="625"/>
      <c r="I27" s="607"/>
      <c r="J27" s="627"/>
      <c r="K27" s="150">
        <v>1191</v>
      </c>
      <c r="L27" s="81">
        <v>1976.34</v>
      </c>
      <c r="M27" s="39"/>
      <c r="N27" s="39" t="s">
        <v>960</v>
      </c>
      <c r="O27" s="173"/>
    </row>
    <row r="28" spans="1:15" ht="31" x14ac:dyDescent="0.35">
      <c r="B28" s="608"/>
      <c r="C28" s="626"/>
      <c r="D28" s="111" t="s">
        <v>981</v>
      </c>
      <c r="E28" s="608"/>
      <c r="F28" s="623"/>
      <c r="G28" s="608"/>
      <c r="H28" s="626"/>
      <c r="I28" s="608"/>
      <c r="J28" s="623"/>
      <c r="K28" s="150">
        <v>42</v>
      </c>
      <c r="L28" s="81">
        <v>1976.33</v>
      </c>
      <c r="M28" s="323">
        <f>J25-L25-L26-L27-L28</f>
        <v>3952.6499999999996</v>
      </c>
      <c r="N28" s="39" t="s">
        <v>960</v>
      </c>
    </row>
    <row r="29" spans="1:15" ht="62" x14ac:dyDescent="0.35">
      <c r="B29" s="128">
        <v>11</v>
      </c>
      <c r="C29" s="111" t="s">
        <v>261</v>
      </c>
      <c r="D29" s="111" t="s">
        <v>981</v>
      </c>
      <c r="E29" s="136">
        <v>1</v>
      </c>
      <c r="F29" s="133">
        <v>3539.99</v>
      </c>
      <c r="G29" s="158" t="s">
        <v>709</v>
      </c>
      <c r="H29" s="160" t="s">
        <v>281</v>
      </c>
      <c r="I29" s="128" t="s">
        <v>710</v>
      </c>
      <c r="J29" s="81">
        <v>3539.99</v>
      </c>
      <c r="K29" s="150">
        <v>753</v>
      </c>
      <c r="L29" s="81">
        <v>6347.81</v>
      </c>
      <c r="M29" s="39"/>
      <c r="N29" s="39" t="s">
        <v>960</v>
      </c>
    </row>
    <row r="30" spans="1:15" ht="31" x14ac:dyDescent="0.35">
      <c r="B30" s="128">
        <v>12</v>
      </c>
      <c r="C30" s="111" t="s">
        <v>262</v>
      </c>
      <c r="D30" s="111" t="s">
        <v>981</v>
      </c>
      <c r="E30" s="136">
        <v>1</v>
      </c>
      <c r="F30" s="133">
        <v>6992.72</v>
      </c>
      <c r="G30" s="158" t="s">
        <v>711</v>
      </c>
      <c r="H30" s="160" t="s">
        <v>712</v>
      </c>
      <c r="I30" s="128" t="s">
        <v>713</v>
      </c>
      <c r="J30" s="81">
        <v>6992.72</v>
      </c>
      <c r="K30" s="150">
        <v>6049</v>
      </c>
      <c r="L30" s="159">
        <v>6992.72</v>
      </c>
      <c r="M30" s="150"/>
      <c r="N30" s="39" t="s">
        <v>960</v>
      </c>
    </row>
    <row r="31" spans="1:15" ht="31" x14ac:dyDescent="0.35">
      <c r="B31" s="635">
        <v>13</v>
      </c>
      <c r="C31" s="636" t="s">
        <v>263</v>
      </c>
      <c r="D31" s="111" t="s">
        <v>981</v>
      </c>
      <c r="E31" s="640">
        <v>1</v>
      </c>
      <c r="F31" s="622">
        <v>1946.03</v>
      </c>
      <c r="G31" s="158" t="s">
        <v>714</v>
      </c>
      <c r="H31" s="160" t="s">
        <v>715</v>
      </c>
      <c r="I31" s="128" t="s">
        <v>716</v>
      </c>
      <c r="J31" s="81">
        <v>191.26</v>
      </c>
      <c r="K31" s="150"/>
      <c r="L31" s="150"/>
      <c r="M31" s="67">
        <v>191.26</v>
      </c>
      <c r="N31" s="39" t="s">
        <v>960</v>
      </c>
    </row>
    <row r="32" spans="1:15" ht="31" x14ac:dyDescent="0.35">
      <c r="B32" s="635"/>
      <c r="C32" s="636"/>
      <c r="D32" s="111" t="s">
        <v>981</v>
      </c>
      <c r="E32" s="641"/>
      <c r="F32" s="623"/>
      <c r="G32" s="158" t="s">
        <v>718</v>
      </c>
      <c r="H32" s="160" t="s">
        <v>280</v>
      </c>
      <c r="I32" s="128" t="s">
        <v>716</v>
      </c>
      <c r="J32" s="81">
        <v>1754.77</v>
      </c>
      <c r="K32" s="150">
        <v>6358</v>
      </c>
      <c r="L32" s="67">
        <v>1754.77</v>
      </c>
      <c r="M32" s="39"/>
      <c r="N32" s="39" t="s">
        <v>960</v>
      </c>
    </row>
    <row r="33" spans="2:15" ht="62" x14ac:dyDescent="0.35">
      <c r="B33" s="128">
        <v>14</v>
      </c>
      <c r="C33" s="111" t="s">
        <v>719</v>
      </c>
      <c r="D33" s="111" t="s">
        <v>981</v>
      </c>
      <c r="E33" s="137">
        <v>2</v>
      </c>
      <c r="F33" s="81">
        <v>8518.4</v>
      </c>
      <c r="G33" s="635" t="s">
        <v>720</v>
      </c>
      <c r="H33" s="636" t="s">
        <v>279</v>
      </c>
      <c r="I33" s="635" t="s">
        <v>561</v>
      </c>
      <c r="J33" s="622">
        <v>42368.15</v>
      </c>
      <c r="K33" s="151"/>
      <c r="L33" s="637"/>
      <c r="M33" s="631"/>
      <c r="N33" s="39" t="s">
        <v>960</v>
      </c>
    </row>
    <row r="34" spans="2:15" s="10" customFormat="1" ht="31" x14ac:dyDescent="0.35">
      <c r="B34" s="128">
        <v>15</v>
      </c>
      <c r="C34" s="111" t="s">
        <v>264</v>
      </c>
      <c r="D34" s="111" t="s">
        <v>981</v>
      </c>
      <c r="E34" s="137">
        <v>5</v>
      </c>
      <c r="F34" s="81">
        <v>18143.95</v>
      </c>
      <c r="G34" s="635"/>
      <c r="H34" s="636"/>
      <c r="I34" s="635"/>
      <c r="J34" s="627"/>
      <c r="K34" s="153"/>
      <c r="L34" s="638"/>
      <c r="M34" s="632"/>
      <c r="N34" s="39" t="s">
        <v>960</v>
      </c>
      <c r="O34" s="132"/>
    </row>
    <row r="35" spans="2:15" s="10" customFormat="1" ht="15.75" customHeight="1" x14ac:dyDescent="0.35">
      <c r="B35" s="128">
        <v>16</v>
      </c>
      <c r="C35" s="111" t="s">
        <v>265</v>
      </c>
      <c r="D35" s="111" t="s">
        <v>981</v>
      </c>
      <c r="E35" s="137">
        <v>1</v>
      </c>
      <c r="F35" s="133">
        <v>15705.8</v>
      </c>
      <c r="G35" s="635"/>
      <c r="H35" s="636"/>
      <c r="I35" s="635"/>
      <c r="J35" s="623"/>
      <c r="K35" s="152"/>
      <c r="L35" s="639"/>
      <c r="M35" s="633"/>
      <c r="N35" s="39" t="s">
        <v>960</v>
      </c>
      <c r="O35" s="132"/>
    </row>
    <row r="36" spans="2:15" s="10" customFormat="1" ht="31" x14ac:dyDescent="0.35">
      <c r="B36" s="128">
        <v>17</v>
      </c>
      <c r="C36" s="161" t="s">
        <v>266</v>
      </c>
      <c r="D36" s="111" t="s">
        <v>981</v>
      </c>
      <c r="E36" s="137">
        <v>1</v>
      </c>
      <c r="F36" s="133">
        <v>23595</v>
      </c>
      <c r="G36" s="158" t="s">
        <v>721</v>
      </c>
      <c r="H36" s="160" t="s">
        <v>278</v>
      </c>
      <c r="I36" s="162" t="s">
        <v>561</v>
      </c>
      <c r="J36" s="81">
        <v>23595</v>
      </c>
      <c r="K36" s="150">
        <v>17</v>
      </c>
      <c r="L36" s="157">
        <v>23595</v>
      </c>
      <c r="M36" s="39"/>
      <c r="N36" s="39" t="s">
        <v>960</v>
      </c>
      <c r="O36" s="132"/>
    </row>
    <row r="37" spans="2:15" s="10" customFormat="1" ht="31" x14ac:dyDescent="0.35">
      <c r="B37" s="128">
        <v>18</v>
      </c>
      <c r="C37" s="163" t="s">
        <v>267</v>
      </c>
      <c r="D37" s="111" t="s">
        <v>981</v>
      </c>
      <c r="E37" s="136">
        <v>2</v>
      </c>
      <c r="F37" s="133">
        <v>108900</v>
      </c>
      <c r="G37" s="158" t="s">
        <v>722</v>
      </c>
      <c r="H37" s="160" t="s">
        <v>278</v>
      </c>
      <c r="I37" s="162" t="s">
        <v>561</v>
      </c>
      <c r="J37" s="81">
        <v>108900</v>
      </c>
      <c r="K37" s="150">
        <v>65</v>
      </c>
      <c r="L37" s="157">
        <v>108900</v>
      </c>
      <c r="M37" s="39"/>
      <c r="N37" s="39" t="s">
        <v>960</v>
      </c>
      <c r="O37" s="132"/>
    </row>
    <row r="38" spans="2:15" s="10" customFormat="1" ht="62" x14ac:dyDescent="0.35">
      <c r="B38" s="128">
        <v>19</v>
      </c>
      <c r="C38" s="164" t="s">
        <v>723</v>
      </c>
      <c r="D38" s="111" t="s">
        <v>981</v>
      </c>
      <c r="E38" s="165">
        <v>10</v>
      </c>
      <c r="F38" s="81">
        <v>40535</v>
      </c>
      <c r="G38" s="606" t="s">
        <v>276</v>
      </c>
      <c r="H38" s="624" t="s">
        <v>277</v>
      </c>
      <c r="I38" s="606" t="s">
        <v>561</v>
      </c>
      <c r="J38" s="622">
        <v>48067.25</v>
      </c>
      <c r="K38" s="151">
        <v>337</v>
      </c>
      <c r="L38" s="629">
        <v>10592.07</v>
      </c>
      <c r="M38" s="39"/>
      <c r="N38" s="39" t="s">
        <v>960</v>
      </c>
      <c r="O38" s="132"/>
    </row>
    <row r="39" spans="2:15" s="10" customFormat="1" ht="31" x14ac:dyDescent="0.35">
      <c r="B39" s="128">
        <v>20</v>
      </c>
      <c r="C39" s="164" t="s">
        <v>268</v>
      </c>
      <c r="D39" s="111" t="s">
        <v>981</v>
      </c>
      <c r="E39" s="165">
        <v>1</v>
      </c>
      <c r="F39" s="81">
        <v>7532.25</v>
      </c>
      <c r="G39" s="608"/>
      <c r="H39" s="626"/>
      <c r="I39" s="608"/>
      <c r="J39" s="623"/>
      <c r="K39" s="152"/>
      <c r="L39" s="630"/>
      <c r="M39" s="39"/>
      <c r="N39" s="39" t="s">
        <v>960</v>
      </c>
      <c r="O39" s="132"/>
    </row>
    <row r="40" spans="2:15" s="10" customFormat="1" ht="31" x14ac:dyDescent="0.35">
      <c r="B40" s="128">
        <v>21</v>
      </c>
      <c r="C40" s="111" t="s">
        <v>269</v>
      </c>
      <c r="D40" s="111" t="s">
        <v>981</v>
      </c>
      <c r="E40" s="136">
        <v>1</v>
      </c>
      <c r="F40" s="134">
        <v>491.26</v>
      </c>
      <c r="G40" s="137" t="s">
        <v>275</v>
      </c>
      <c r="H40" s="160" t="s">
        <v>282</v>
      </c>
      <c r="I40" s="128" t="s">
        <v>724</v>
      </c>
      <c r="J40" s="81">
        <v>491.26</v>
      </c>
      <c r="K40" s="150">
        <v>6316</v>
      </c>
      <c r="L40" s="67">
        <v>491.26</v>
      </c>
      <c r="M40" s="39"/>
      <c r="N40" s="39" t="s">
        <v>960</v>
      </c>
      <c r="O40" s="132"/>
    </row>
    <row r="41" spans="2:15" s="10" customFormat="1" ht="31" x14ac:dyDescent="0.35">
      <c r="B41" s="606">
        <v>22</v>
      </c>
      <c r="C41" s="624" t="s">
        <v>270</v>
      </c>
      <c r="D41" s="111" t="s">
        <v>981</v>
      </c>
      <c r="E41" s="606">
        <v>1</v>
      </c>
      <c r="F41" s="622">
        <v>5146.8999999999996</v>
      </c>
      <c r="G41" s="158" t="s">
        <v>272</v>
      </c>
      <c r="H41" s="160" t="s">
        <v>273</v>
      </c>
      <c r="I41" s="128" t="s">
        <v>725</v>
      </c>
      <c r="J41" s="81">
        <v>3021.37</v>
      </c>
      <c r="K41" s="150">
        <v>6502</v>
      </c>
      <c r="L41" s="67">
        <v>3021.37</v>
      </c>
      <c r="M41" s="39"/>
      <c r="N41" s="39" t="s">
        <v>960</v>
      </c>
      <c r="O41" s="132"/>
    </row>
    <row r="42" spans="2:15" s="10" customFormat="1" ht="31" x14ac:dyDescent="0.35">
      <c r="B42" s="608"/>
      <c r="C42" s="626"/>
      <c r="D42" s="111" t="s">
        <v>981</v>
      </c>
      <c r="E42" s="608"/>
      <c r="F42" s="623"/>
      <c r="G42" s="137" t="s">
        <v>274</v>
      </c>
      <c r="H42" s="160" t="s">
        <v>726</v>
      </c>
      <c r="I42" s="128" t="s">
        <v>725</v>
      </c>
      <c r="J42" s="81">
        <v>2125.5300000000002</v>
      </c>
      <c r="K42" s="150">
        <v>385</v>
      </c>
      <c r="L42" s="67">
        <v>2125.5300000000002</v>
      </c>
      <c r="M42" s="39"/>
      <c r="N42" s="39" t="s">
        <v>960</v>
      </c>
      <c r="O42" s="132"/>
    </row>
    <row r="43" spans="2:15" s="10" customFormat="1" ht="31" x14ac:dyDescent="0.35">
      <c r="B43" s="128">
        <v>23</v>
      </c>
      <c r="C43" s="111" t="s">
        <v>271</v>
      </c>
      <c r="D43" s="111" t="s">
        <v>981</v>
      </c>
      <c r="E43" s="128">
        <v>1</v>
      </c>
      <c r="F43" s="81">
        <v>682.44</v>
      </c>
      <c r="G43" s="39" t="s">
        <v>727</v>
      </c>
      <c r="H43" s="160" t="s">
        <v>712</v>
      </c>
      <c r="I43" s="128" t="s">
        <v>728</v>
      </c>
      <c r="J43" s="81">
        <v>682.44</v>
      </c>
      <c r="K43" s="150">
        <v>436</v>
      </c>
      <c r="L43" s="67">
        <v>682.44</v>
      </c>
      <c r="M43" s="39"/>
      <c r="N43" s="39" t="s">
        <v>960</v>
      </c>
      <c r="O43" s="132"/>
    </row>
    <row r="44" spans="2:15" s="10" customFormat="1" ht="15.5" x14ac:dyDescent="0.35">
      <c r="B44" s="8"/>
      <c r="C44" s="8"/>
      <c r="D44" s="8"/>
      <c r="E44" s="8"/>
      <c r="F44" s="97"/>
      <c r="G44" s="8"/>
      <c r="H44" s="8"/>
      <c r="I44" s="8"/>
      <c r="J44" s="97"/>
      <c r="K44" s="97"/>
      <c r="L44" s="98"/>
      <c r="M44" s="99"/>
      <c r="N44" s="8"/>
      <c r="O44" s="132"/>
    </row>
    <row r="47" spans="2:15" x14ac:dyDescent="0.3">
      <c r="B47" s="628" t="s">
        <v>717</v>
      </c>
      <c r="C47" s="628"/>
      <c r="D47" s="127"/>
    </row>
    <row r="48" spans="2:15" ht="15" customHeight="1" x14ac:dyDescent="0.3">
      <c r="B48" s="628"/>
      <c r="C48" s="628"/>
      <c r="D48" s="127"/>
    </row>
  </sheetData>
  <mergeCells count="72">
    <mergeCell ref="J25:J28"/>
    <mergeCell ref="J38:J39"/>
    <mergeCell ref="M33:M35"/>
    <mergeCell ref="A13:A14"/>
    <mergeCell ref="A11:A12"/>
    <mergeCell ref="A18:A19"/>
    <mergeCell ref="G33:G35"/>
    <mergeCell ref="H33:H35"/>
    <mergeCell ref="I33:I35"/>
    <mergeCell ref="L33:L35"/>
    <mergeCell ref="J33:J35"/>
    <mergeCell ref="H25:H28"/>
    <mergeCell ref="I25:I28"/>
    <mergeCell ref="B31:B32"/>
    <mergeCell ref="C31:C32"/>
    <mergeCell ref="E31:E32"/>
    <mergeCell ref="B48:C48"/>
    <mergeCell ref="G38:G39"/>
    <mergeCell ref="H38:H39"/>
    <mergeCell ref="I38:I39"/>
    <mergeCell ref="L38:L39"/>
    <mergeCell ref="B41:B42"/>
    <mergeCell ref="C41:C42"/>
    <mergeCell ref="E41:E42"/>
    <mergeCell ref="F41:F42"/>
    <mergeCell ref="B47:C47"/>
    <mergeCell ref="F31:F32"/>
    <mergeCell ref="B25:B28"/>
    <mergeCell ref="C25:C28"/>
    <mergeCell ref="E25:E28"/>
    <mergeCell ref="F25:F28"/>
    <mergeCell ref="G25:G28"/>
    <mergeCell ref="N18:N19"/>
    <mergeCell ref="B20:B24"/>
    <mergeCell ref="C20:C24"/>
    <mergeCell ref="E20:E24"/>
    <mergeCell ref="F20:F24"/>
    <mergeCell ref="G20:G24"/>
    <mergeCell ref="H20:H24"/>
    <mergeCell ref="I20:I24"/>
    <mergeCell ref="B18:B19"/>
    <mergeCell ref="C18:C19"/>
    <mergeCell ref="E18:E19"/>
    <mergeCell ref="F18:F19"/>
    <mergeCell ref="G18:G19"/>
    <mergeCell ref="H18:H19"/>
    <mergeCell ref="J20:J24"/>
    <mergeCell ref="B1:C1"/>
    <mergeCell ref="B4:N4"/>
    <mergeCell ref="G5:N5"/>
    <mergeCell ref="B6:B7"/>
    <mergeCell ref="C6:C7"/>
    <mergeCell ref="E6:E7"/>
    <mergeCell ref="F6:F7"/>
    <mergeCell ref="G6:J6"/>
    <mergeCell ref="A5:F5"/>
    <mergeCell ref="K6:M6"/>
    <mergeCell ref="N6:N7"/>
    <mergeCell ref="A2:C2"/>
    <mergeCell ref="A6:A7"/>
    <mergeCell ref="D6:D7"/>
    <mergeCell ref="A8:B8"/>
    <mergeCell ref="J18:J19"/>
    <mergeCell ref="B13:B14"/>
    <mergeCell ref="C13:C14"/>
    <mergeCell ref="E13:E14"/>
    <mergeCell ref="F13:F14"/>
    <mergeCell ref="B11:B12"/>
    <mergeCell ref="C11:C12"/>
    <mergeCell ref="E11:E12"/>
    <mergeCell ref="F11:F12"/>
    <mergeCell ref="I18:I19"/>
  </mergeCells>
  <pageMargins left="0.7" right="0.7" top="0.75" bottom="0.75" header="0.3" footer="0.3"/>
  <pageSetup paperSize="9" scale="28" orientation="portrait" horizontalDpi="90" verticalDpi="90"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5666-A9AE-4603-9C4C-C762136EE600}">
  <sheetPr>
    <tabColor rgb="FF00B0F0"/>
  </sheetPr>
  <dimension ref="A2:N61"/>
  <sheetViews>
    <sheetView view="pageBreakPreview" topLeftCell="A31" zoomScale="60" zoomScaleNormal="60" workbookViewId="0">
      <selection activeCell="U21" sqref="U21"/>
    </sheetView>
  </sheetViews>
  <sheetFormatPr defaultColWidth="9.1796875" defaultRowHeight="14" x14ac:dyDescent="0.35"/>
  <cols>
    <col min="1" max="1" width="16.7265625" style="11" customWidth="1"/>
    <col min="2" max="2" width="24.81640625" style="11" customWidth="1"/>
    <col min="3" max="3" width="36.54296875" style="11" customWidth="1"/>
    <col min="4" max="4" width="22.26953125" style="11" customWidth="1"/>
    <col min="5" max="5" width="14.26953125" style="11" customWidth="1"/>
    <col min="6" max="6" width="16.81640625" style="11" customWidth="1"/>
    <col min="7" max="7" width="14.1796875" style="123" customWidth="1"/>
    <col min="8" max="8" width="14.1796875" style="26" customWidth="1"/>
    <col min="9" max="9" width="21" style="11" customWidth="1"/>
    <col min="10" max="11" width="14.26953125" style="11" customWidth="1"/>
    <col min="12" max="12" width="14.453125" style="11" customWidth="1"/>
    <col min="13" max="13" width="14.1796875" style="11" customWidth="1"/>
    <col min="14" max="14" width="43.81640625" style="11" customWidth="1"/>
    <col min="15" max="16384" width="9.1796875" style="11"/>
  </cols>
  <sheetData>
    <row r="2" spans="1:14" ht="15.75" customHeight="1" x14ac:dyDescent="0.35">
      <c r="A2" s="694" t="s">
        <v>23</v>
      </c>
      <c r="B2" s="694"/>
      <c r="C2" s="8"/>
      <c r="D2" s="8"/>
      <c r="E2" s="8"/>
      <c r="F2" s="8"/>
      <c r="G2" s="122"/>
      <c r="H2" s="16"/>
      <c r="I2" s="147"/>
      <c r="J2" s="176"/>
      <c r="K2" s="176"/>
      <c r="L2" s="8"/>
      <c r="M2" s="8"/>
      <c r="N2" s="9"/>
    </row>
    <row r="3" spans="1:14" ht="15.5" x14ac:dyDescent="0.35">
      <c r="B3" s="8"/>
      <c r="C3" s="8"/>
      <c r="D3" s="8"/>
      <c r="E3" s="8"/>
      <c r="F3" s="8"/>
      <c r="G3" s="122"/>
      <c r="H3" s="16"/>
      <c r="I3" s="8"/>
      <c r="J3" s="8"/>
      <c r="K3" s="8"/>
      <c r="L3" s="8"/>
      <c r="M3" s="8"/>
      <c r="N3" s="9"/>
    </row>
    <row r="4" spans="1:14" ht="24.75" customHeight="1" x14ac:dyDescent="0.35">
      <c r="B4" s="589" t="s">
        <v>956</v>
      </c>
      <c r="C4" s="589"/>
      <c r="D4" s="589"/>
      <c r="E4" s="589"/>
      <c r="F4" s="590"/>
      <c r="G4" s="591"/>
      <c r="H4" s="591"/>
      <c r="I4" s="591"/>
      <c r="J4" s="591"/>
      <c r="K4" s="591"/>
      <c r="L4" s="591"/>
      <c r="M4" s="591"/>
      <c r="N4" s="592"/>
    </row>
    <row r="5" spans="1:14" ht="24.75" customHeight="1" x14ac:dyDescent="0.35">
      <c r="A5" s="600" t="s">
        <v>48</v>
      </c>
      <c r="B5" s="600"/>
      <c r="C5" s="600"/>
      <c r="D5" s="600"/>
      <c r="E5" s="600"/>
      <c r="F5" s="600"/>
      <c r="G5" s="593" t="s">
        <v>9</v>
      </c>
      <c r="H5" s="594"/>
      <c r="I5" s="594"/>
      <c r="J5" s="594"/>
      <c r="K5" s="594"/>
      <c r="L5" s="594"/>
      <c r="M5" s="594"/>
      <c r="N5" s="594"/>
    </row>
    <row r="6" spans="1:14" ht="28.5" customHeight="1" x14ac:dyDescent="0.35">
      <c r="A6" s="604" t="s">
        <v>950</v>
      </c>
      <c r="B6" s="604" t="s">
        <v>10</v>
      </c>
      <c r="C6" s="604" t="s">
        <v>46</v>
      </c>
      <c r="D6" s="604" t="s">
        <v>951</v>
      </c>
      <c r="E6" s="604" t="s">
        <v>11</v>
      </c>
      <c r="F6" s="604" t="s">
        <v>12</v>
      </c>
      <c r="G6" s="593" t="s">
        <v>946</v>
      </c>
      <c r="H6" s="594"/>
      <c r="I6" s="594"/>
      <c r="J6" s="595"/>
      <c r="K6" s="593" t="s">
        <v>948</v>
      </c>
      <c r="L6" s="594"/>
      <c r="M6" s="595"/>
      <c r="N6" s="643" t="s">
        <v>947</v>
      </c>
    </row>
    <row r="7" spans="1:14" ht="45" customHeight="1" x14ac:dyDescent="0.35">
      <c r="A7" s="597"/>
      <c r="B7" s="597"/>
      <c r="C7" s="597"/>
      <c r="D7" s="597"/>
      <c r="E7" s="597"/>
      <c r="F7" s="597"/>
      <c r="G7" s="49" t="s">
        <v>14</v>
      </c>
      <c r="H7" s="17" t="s">
        <v>15</v>
      </c>
      <c r="I7" s="12" t="s">
        <v>16</v>
      </c>
      <c r="J7" s="12" t="s">
        <v>17</v>
      </c>
      <c r="K7" s="12" t="s">
        <v>952</v>
      </c>
      <c r="L7" s="12" t="s">
        <v>953</v>
      </c>
      <c r="M7" s="12" t="s">
        <v>954</v>
      </c>
      <c r="N7" s="644"/>
    </row>
    <row r="8" spans="1:14" s="20" customFormat="1" ht="25.5" customHeight="1" x14ac:dyDescent="0.35">
      <c r="A8" s="642" t="s">
        <v>18</v>
      </c>
      <c r="B8" s="642"/>
      <c r="C8" s="14" t="s">
        <v>19</v>
      </c>
      <c r="D8" s="14"/>
      <c r="E8" s="14"/>
      <c r="F8" s="18">
        <f>SUM(F9:F55)</f>
        <v>1972320</v>
      </c>
      <c r="G8" s="14" t="s">
        <v>19</v>
      </c>
      <c r="H8" s="19" t="s">
        <v>19</v>
      </c>
      <c r="I8" s="14" t="s">
        <v>19</v>
      </c>
      <c r="J8" s="18">
        <f>SUM(J9:J55)</f>
        <v>319514.2099999999</v>
      </c>
      <c r="K8" s="18"/>
      <c r="L8" s="18">
        <f>SUM(L9:L55)</f>
        <v>319514.2099999999</v>
      </c>
      <c r="M8" s="18"/>
      <c r="N8" s="88" t="s">
        <v>19</v>
      </c>
    </row>
    <row r="9" spans="1:14" ht="31" x14ac:dyDescent="0.35">
      <c r="A9" s="354" t="s">
        <v>1041</v>
      </c>
      <c r="B9" s="351"/>
      <c r="C9" s="52" t="s">
        <v>53</v>
      </c>
      <c r="D9" s="52" t="s">
        <v>981</v>
      </c>
      <c r="E9" s="54">
        <v>20</v>
      </c>
      <c r="F9" s="360">
        <v>8000</v>
      </c>
      <c r="G9" s="52" t="s">
        <v>796</v>
      </c>
      <c r="H9" s="109" t="s">
        <v>674</v>
      </c>
      <c r="I9" s="110" t="s">
        <v>797</v>
      </c>
      <c r="J9" s="343">
        <v>7744</v>
      </c>
      <c r="K9" s="343" t="s">
        <v>798</v>
      </c>
      <c r="L9" s="344">
        <v>7744</v>
      </c>
      <c r="M9" s="53"/>
      <c r="N9" s="91" t="s">
        <v>860</v>
      </c>
    </row>
    <row r="10" spans="1:14" ht="35.25" customHeight="1" x14ac:dyDescent="0.35">
      <c r="A10" s="10"/>
      <c r="B10" s="22"/>
      <c r="C10" s="22" t="s">
        <v>54</v>
      </c>
      <c r="D10" s="24" t="s">
        <v>981</v>
      </c>
      <c r="E10" s="22">
        <v>1</v>
      </c>
      <c r="F10" s="361">
        <v>9500</v>
      </c>
      <c r="G10" s="22"/>
      <c r="H10" s="51"/>
      <c r="I10" s="22"/>
      <c r="J10" s="345"/>
      <c r="K10" s="345"/>
      <c r="L10" s="346"/>
      <c r="M10" s="50"/>
      <c r="N10" s="121" t="s">
        <v>894</v>
      </c>
    </row>
    <row r="11" spans="1:14" ht="28" x14ac:dyDescent="0.35">
      <c r="A11" s="354" t="s">
        <v>1032</v>
      </c>
      <c r="B11" s="52"/>
      <c r="C11" s="52" t="s">
        <v>56</v>
      </c>
      <c r="D11" s="52" t="s">
        <v>981</v>
      </c>
      <c r="E11" s="52">
        <v>7</v>
      </c>
      <c r="F11" s="360">
        <v>11550</v>
      </c>
      <c r="G11" s="52" t="s">
        <v>484</v>
      </c>
      <c r="H11" s="56" t="s">
        <v>485</v>
      </c>
      <c r="I11" s="52" t="s">
        <v>463</v>
      </c>
      <c r="J11" s="347">
        <v>11002.53</v>
      </c>
      <c r="K11" s="347" t="s">
        <v>486</v>
      </c>
      <c r="L11" s="344">
        <v>11002.53</v>
      </c>
      <c r="M11" s="90"/>
      <c r="N11" s="91" t="s">
        <v>655</v>
      </c>
    </row>
    <row r="12" spans="1:14" ht="31" x14ac:dyDescent="0.35">
      <c r="A12" s="52" t="s">
        <v>1030</v>
      </c>
      <c r="B12" s="52"/>
      <c r="C12" s="52" t="s">
        <v>57</v>
      </c>
      <c r="D12" s="52" t="s">
        <v>981</v>
      </c>
      <c r="E12" s="52">
        <v>8</v>
      </c>
      <c r="F12" s="358">
        <v>2400</v>
      </c>
      <c r="G12" s="52" t="s">
        <v>487</v>
      </c>
      <c r="H12" s="56" t="s">
        <v>488</v>
      </c>
      <c r="I12" s="52" t="s">
        <v>365</v>
      </c>
      <c r="J12" s="344">
        <v>3678.4</v>
      </c>
      <c r="K12" s="344" t="s">
        <v>489</v>
      </c>
      <c r="L12" s="348">
        <v>3678.4</v>
      </c>
      <c r="M12" s="93"/>
      <c r="N12" s="91" t="s">
        <v>655</v>
      </c>
    </row>
    <row r="13" spans="1:14" ht="31" x14ac:dyDescent="0.35">
      <c r="A13" s="354" t="s">
        <v>1031</v>
      </c>
      <c r="B13" s="52"/>
      <c r="C13" s="52" t="s">
        <v>58</v>
      </c>
      <c r="D13" s="52" t="s">
        <v>981</v>
      </c>
      <c r="E13" s="52">
        <v>8</v>
      </c>
      <c r="F13" s="358">
        <v>4800</v>
      </c>
      <c r="G13" s="52" t="s">
        <v>490</v>
      </c>
      <c r="H13" s="56" t="s">
        <v>485</v>
      </c>
      <c r="I13" s="52" t="s">
        <v>365</v>
      </c>
      <c r="J13" s="344">
        <v>2274.8000000000002</v>
      </c>
      <c r="K13" s="344" t="s">
        <v>491</v>
      </c>
      <c r="L13" s="344">
        <v>2274.8000000000002</v>
      </c>
      <c r="M13" s="53"/>
      <c r="N13" s="91" t="s">
        <v>655</v>
      </c>
    </row>
    <row r="14" spans="1:14" ht="15.5" x14ac:dyDescent="0.35">
      <c r="A14" s="354" t="s">
        <v>1038</v>
      </c>
      <c r="B14" s="645"/>
      <c r="C14" s="647" t="s">
        <v>59</v>
      </c>
      <c r="D14" s="52" t="s">
        <v>981</v>
      </c>
      <c r="E14" s="649">
        <v>1</v>
      </c>
      <c r="F14" s="651">
        <v>14000</v>
      </c>
      <c r="G14" s="52" t="s">
        <v>656</v>
      </c>
      <c r="H14" s="56" t="s">
        <v>657</v>
      </c>
      <c r="I14" s="52" t="s">
        <v>283</v>
      </c>
      <c r="J14" s="344">
        <v>12012.88</v>
      </c>
      <c r="K14" s="344" t="s">
        <v>658</v>
      </c>
      <c r="L14" s="344">
        <v>12012.88</v>
      </c>
      <c r="M14" s="53"/>
      <c r="N14" s="94" t="s">
        <v>804</v>
      </c>
    </row>
    <row r="15" spans="1:14" ht="31" x14ac:dyDescent="0.35">
      <c r="A15" s="354" t="s">
        <v>1042</v>
      </c>
      <c r="B15" s="646"/>
      <c r="C15" s="648"/>
      <c r="D15" s="52" t="s">
        <v>981</v>
      </c>
      <c r="E15" s="650"/>
      <c r="F15" s="652"/>
      <c r="G15" s="52" t="s">
        <v>895</v>
      </c>
      <c r="H15" s="56" t="s">
        <v>896</v>
      </c>
      <c r="I15" s="52" t="s">
        <v>365</v>
      </c>
      <c r="J15" s="344">
        <v>723.58</v>
      </c>
      <c r="K15" s="344" t="s">
        <v>897</v>
      </c>
      <c r="L15" s="344">
        <v>723.58</v>
      </c>
      <c r="M15" s="53"/>
      <c r="N15" s="94" t="s">
        <v>922</v>
      </c>
    </row>
    <row r="16" spans="1:14" ht="15.5" x14ac:dyDescent="0.35">
      <c r="A16" s="354" t="s">
        <v>164</v>
      </c>
      <c r="B16" s="52"/>
      <c r="C16" s="52" t="s">
        <v>60</v>
      </c>
      <c r="D16" s="52" t="s">
        <v>981</v>
      </c>
      <c r="E16" s="52">
        <v>5</v>
      </c>
      <c r="F16" s="358">
        <v>17500</v>
      </c>
      <c r="G16" s="52" t="s">
        <v>659</v>
      </c>
      <c r="H16" s="56" t="s">
        <v>660</v>
      </c>
      <c r="I16" s="52" t="s">
        <v>661</v>
      </c>
      <c r="J16" s="344">
        <v>16940</v>
      </c>
      <c r="K16" s="344" t="s">
        <v>662</v>
      </c>
      <c r="L16" s="344">
        <v>16940</v>
      </c>
      <c r="M16" s="53"/>
      <c r="N16" s="94" t="s">
        <v>799</v>
      </c>
    </row>
    <row r="17" spans="1:14" ht="31" x14ac:dyDescent="0.35">
      <c r="A17" s="47"/>
      <c r="B17" s="22"/>
      <c r="C17" s="22" t="s">
        <v>61</v>
      </c>
      <c r="D17" s="24" t="s">
        <v>981</v>
      </c>
      <c r="E17" s="22">
        <v>1</v>
      </c>
      <c r="F17" s="362">
        <v>1500</v>
      </c>
      <c r="G17" s="22"/>
      <c r="H17" s="51"/>
      <c r="I17" s="22"/>
      <c r="J17" s="346"/>
      <c r="K17" s="346"/>
      <c r="L17" s="346"/>
      <c r="M17" s="50"/>
      <c r="N17" s="121" t="s">
        <v>923</v>
      </c>
    </row>
    <row r="18" spans="1:14" ht="46.5" x14ac:dyDescent="0.35">
      <c r="A18" s="47"/>
      <c r="B18" s="22"/>
      <c r="C18" s="22" t="s">
        <v>62</v>
      </c>
      <c r="D18" s="24" t="s">
        <v>981</v>
      </c>
      <c r="E18" s="22">
        <v>2</v>
      </c>
      <c r="F18" s="362">
        <v>4800</v>
      </c>
      <c r="G18" s="22"/>
      <c r="H18" s="51"/>
      <c r="I18" s="22"/>
      <c r="J18" s="346"/>
      <c r="K18" s="346"/>
      <c r="L18" s="346"/>
      <c r="M18" s="50"/>
      <c r="N18" s="121" t="s">
        <v>923</v>
      </c>
    </row>
    <row r="19" spans="1:14" ht="15.5" x14ac:dyDescent="0.35">
      <c r="A19" s="47"/>
      <c r="B19" s="22"/>
      <c r="C19" s="22" t="s">
        <v>63</v>
      </c>
      <c r="D19" s="24" t="s">
        <v>981</v>
      </c>
      <c r="E19" s="22">
        <v>1</v>
      </c>
      <c r="F19" s="362">
        <v>125000</v>
      </c>
      <c r="G19" s="22"/>
      <c r="H19" s="51"/>
      <c r="I19" s="22"/>
      <c r="J19" s="346"/>
      <c r="K19" s="346"/>
      <c r="L19" s="346"/>
      <c r="M19" s="50"/>
      <c r="N19" s="121" t="s">
        <v>924</v>
      </c>
    </row>
    <row r="20" spans="1:14" ht="45" customHeight="1" x14ac:dyDescent="0.35">
      <c r="A20" s="697" t="s">
        <v>1027</v>
      </c>
      <c r="B20" s="645"/>
      <c r="C20" s="647" t="s">
        <v>64</v>
      </c>
      <c r="D20" s="647" t="s">
        <v>981</v>
      </c>
      <c r="E20" s="649">
        <v>1</v>
      </c>
      <c r="F20" s="651">
        <v>970</v>
      </c>
      <c r="G20" s="52" t="s">
        <v>360</v>
      </c>
      <c r="H20" s="52" t="s">
        <v>108</v>
      </c>
      <c r="I20" s="52" t="s">
        <v>361</v>
      </c>
      <c r="J20" s="344">
        <v>653.4</v>
      </c>
      <c r="K20" s="344" t="s">
        <v>362</v>
      </c>
      <c r="L20" s="344">
        <v>653.4</v>
      </c>
      <c r="M20" s="53"/>
      <c r="N20" s="94" t="s">
        <v>496</v>
      </c>
    </row>
    <row r="21" spans="1:14" ht="15.5" x14ac:dyDescent="0.35">
      <c r="A21" s="697"/>
      <c r="B21" s="646"/>
      <c r="C21" s="648"/>
      <c r="D21" s="648"/>
      <c r="E21" s="650"/>
      <c r="F21" s="652"/>
      <c r="G21" s="52" t="s">
        <v>360</v>
      </c>
      <c r="H21" s="52" t="s">
        <v>108</v>
      </c>
      <c r="I21" s="52" t="s">
        <v>361</v>
      </c>
      <c r="J21" s="344">
        <v>278.88</v>
      </c>
      <c r="K21" s="344" t="s">
        <v>492</v>
      </c>
      <c r="L21" s="344">
        <v>278.88</v>
      </c>
      <c r="M21" s="53"/>
      <c r="N21" s="91" t="s">
        <v>655</v>
      </c>
    </row>
    <row r="22" spans="1:14" ht="15.5" x14ac:dyDescent="0.35">
      <c r="A22" s="354" t="s">
        <v>1033</v>
      </c>
      <c r="B22" s="52"/>
      <c r="C22" s="52" t="s">
        <v>65</v>
      </c>
      <c r="D22" s="52" t="s">
        <v>981</v>
      </c>
      <c r="E22" s="54">
        <v>30</v>
      </c>
      <c r="F22" s="358">
        <v>6000</v>
      </c>
      <c r="G22" s="52" t="s">
        <v>493</v>
      </c>
      <c r="H22" s="56" t="s">
        <v>494</v>
      </c>
      <c r="I22" s="52" t="s">
        <v>463</v>
      </c>
      <c r="J22" s="344">
        <v>3775.2</v>
      </c>
      <c r="K22" s="344" t="s">
        <v>495</v>
      </c>
      <c r="L22" s="344">
        <v>3775.2</v>
      </c>
      <c r="M22" s="53"/>
      <c r="N22" s="91" t="s">
        <v>655</v>
      </c>
    </row>
    <row r="23" spans="1:14" ht="42" x14ac:dyDescent="0.35">
      <c r="A23" s="354" t="s">
        <v>1036</v>
      </c>
      <c r="B23" s="353"/>
      <c r="C23" s="353" t="s">
        <v>66</v>
      </c>
      <c r="D23" s="353" t="s">
        <v>981</v>
      </c>
      <c r="E23" s="141">
        <v>2</v>
      </c>
      <c r="F23" s="363">
        <v>8000</v>
      </c>
      <c r="G23" s="52" t="s">
        <v>663</v>
      </c>
      <c r="H23" s="52" t="s">
        <v>664</v>
      </c>
      <c r="I23" s="52" t="s">
        <v>365</v>
      </c>
      <c r="J23" s="344">
        <v>4827.8999999999996</v>
      </c>
      <c r="K23" s="344" t="s">
        <v>665</v>
      </c>
      <c r="L23" s="344">
        <v>4827.8999999999996</v>
      </c>
      <c r="M23" s="53"/>
      <c r="N23" s="94" t="s">
        <v>799</v>
      </c>
    </row>
    <row r="24" spans="1:14" ht="31.5" customHeight="1" x14ac:dyDescent="0.35">
      <c r="A24" s="354" t="s">
        <v>1026</v>
      </c>
      <c r="B24" s="653"/>
      <c r="C24" s="654" t="s">
        <v>67</v>
      </c>
      <c r="D24" s="52" t="s">
        <v>981</v>
      </c>
      <c r="E24" s="655">
        <v>10</v>
      </c>
      <c r="F24" s="656">
        <v>80000</v>
      </c>
      <c r="G24" s="52" t="s">
        <v>363</v>
      </c>
      <c r="H24" s="52" t="s">
        <v>364</v>
      </c>
      <c r="I24" s="52" t="s">
        <v>365</v>
      </c>
      <c r="J24" s="344">
        <v>28919</v>
      </c>
      <c r="K24" s="344" t="s">
        <v>366</v>
      </c>
      <c r="L24" s="344">
        <v>28919</v>
      </c>
      <c r="M24" s="53"/>
      <c r="N24" s="91" t="s">
        <v>925</v>
      </c>
    </row>
    <row r="25" spans="1:14" ht="42" x14ac:dyDescent="0.35">
      <c r="A25" s="354" t="s">
        <v>67</v>
      </c>
      <c r="B25" s="646"/>
      <c r="C25" s="648"/>
      <c r="D25" s="351" t="s">
        <v>981</v>
      </c>
      <c r="E25" s="650"/>
      <c r="F25" s="657"/>
      <c r="G25" s="52" t="s">
        <v>666</v>
      </c>
      <c r="H25" s="52" t="s">
        <v>667</v>
      </c>
      <c r="I25" s="52" t="s">
        <v>668</v>
      </c>
      <c r="J25" s="344">
        <v>16909.75</v>
      </c>
      <c r="K25" s="344" t="s">
        <v>669</v>
      </c>
      <c r="L25" s="344">
        <v>16909.75</v>
      </c>
      <c r="M25" s="53"/>
      <c r="N25" s="94" t="s">
        <v>799</v>
      </c>
    </row>
    <row r="26" spans="1:14" ht="15.5" x14ac:dyDescent="0.35">
      <c r="B26" s="22"/>
      <c r="C26" s="22" t="s">
        <v>68</v>
      </c>
      <c r="D26" s="24" t="s">
        <v>981</v>
      </c>
      <c r="E26" s="22">
        <v>20</v>
      </c>
      <c r="F26" s="362">
        <v>21000</v>
      </c>
      <c r="G26" s="22"/>
      <c r="H26" s="51"/>
      <c r="I26" s="22"/>
      <c r="J26" s="346"/>
      <c r="K26" s="346"/>
      <c r="L26" s="346"/>
      <c r="M26" s="50"/>
      <c r="N26" s="121" t="s">
        <v>926</v>
      </c>
    </row>
    <row r="27" spans="1:14" ht="31" x14ac:dyDescent="0.35">
      <c r="A27" s="52" t="s">
        <v>69</v>
      </c>
      <c r="B27" s="52"/>
      <c r="C27" s="52" t="s">
        <v>69</v>
      </c>
      <c r="D27" s="52" t="s">
        <v>981</v>
      </c>
      <c r="E27" s="355">
        <v>2</v>
      </c>
      <c r="F27" s="359">
        <v>24000</v>
      </c>
      <c r="G27" s="52" t="s">
        <v>670</v>
      </c>
      <c r="H27" s="56" t="s">
        <v>667</v>
      </c>
      <c r="I27" s="52" t="s">
        <v>671</v>
      </c>
      <c r="J27" s="344">
        <v>21538</v>
      </c>
      <c r="K27" s="344" t="s">
        <v>672</v>
      </c>
      <c r="L27" s="344">
        <v>21538</v>
      </c>
      <c r="M27" s="53"/>
      <c r="N27" s="94" t="s">
        <v>799</v>
      </c>
    </row>
    <row r="28" spans="1:14" ht="31" x14ac:dyDescent="0.35">
      <c r="A28" s="354" t="s">
        <v>1034</v>
      </c>
      <c r="B28" s="645"/>
      <c r="C28" s="647" t="s">
        <v>70</v>
      </c>
      <c r="D28" s="52" t="s">
        <v>981</v>
      </c>
      <c r="E28" s="649">
        <v>30</v>
      </c>
      <c r="F28" s="651">
        <v>129000</v>
      </c>
      <c r="G28" s="52" t="s">
        <v>673</v>
      </c>
      <c r="H28" s="56" t="s">
        <v>674</v>
      </c>
      <c r="I28" s="52" t="s">
        <v>365</v>
      </c>
      <c r="J28" s="344">
        <v>30201.599999999999</v>
      </c>
      <c r="K28" s="166" t="s">
        <v>675</v>
      </c>
      <c r="L28" s="651">
        <v>77265.759999999995</v>
      </c>
      <c r="M28" s="660"/>
      <c r="N28" s="647" t="s">
        <v>799</v>
      </c>
    </row>
    <row r="29" spans="1:14" ht="31" x14ac:dyDescent="0.35">
      <c r="A29" s="354" t="s">
        <v>1035</v>
      </c>
      <c r="B29" s="646"/>
      <c r="C29" s="648"/>
      <c r="D29" s="52" t="s">
        <v>981</v>
      </c>
      <c r="E29" s="650"/>
      <c r="F29" s="652"/>
      <c r="G29" s="52" t="s">
        <v>676</v>
      </c>
      <c r="H29" s="56" t="s">
        <v>674</v>
      </c>
      <c r="I29" s="52" t="s">
        <v>365</v>
      </c>
      <c r="J29" s="344">
        <v>47064.160000000003</v>
      </c>
      <c r="K29" s="167"/>
      <c r="L29" s="652"/>
      <c r="M29" s="661"/>
      <c r="N29" s="648"/>
    </row>
    <row r="30" spans="1:14" ht="15.5" x14ac:dyDescent="0.35">
      <c r="A30" s="47"/>
      <c r="B30" s="22"/>
      <c r="C30" s="22" t="s">
        <v>71</v>
      </c>
      <c r="D30" s="24" t="s">
        <v>981</v>
      </c>
      <c r="E30" s="22">
        <v>1</v>
      </c>
      <c r="F30" s="362">
        <v>100000</v>
      </c>
      <c r="G30" s="22"/>
      <c r="H30" s="51"/>
      <c r="I30" s="22"/>
      <c r="J30" s="346"/>
      <c r="K30" s="346"/>
      <c r="L30" s="346"/>
      <c r="M30" s="50"/>
      <c r="N30" s="121" t="s">
        <v>926</v>
      </c>
    </row>
    <row r="31" spans="1:14" ht="31" x14ac:dyDescent="0.35">
      <c r="A31" s="47"/>
      <c r="B31" s="22"/>
      <c r="C31" s="22" t="s">
        <v>72</v>
      </c>
      <c r="D31" s="24" t="s">
        <v>981</v>
      </c>
      <c r="E31" s="22">
        <v>1</v>
      </c>
      <c r="F31" s="362">
        <v>1028500</v>
      </c>
      <c r="G31" s="22"/>
      <c r="H31" s="51"/>
      <c r="I31" s="22"/>
      <c r="J31" s="346"/>
      <c r="K31" s="346"/>
      <c r="L31" s="346"/>
      <c r="M31" s="50"/>
      <c r="N31" s="121" t="s">
        <v>898</v>
      </c>
    </row>
    <row r="32" spans="1:14" ht="42" x14ac:dyDescent="0.35">
      <c r="A32" s="354" t="s">
        <v>1040</v>
      </c>
      <c r="B32" s="52"/>
      <c r="C32" s="52" t="s">
        <v>73</v>
      </c>
      <c r="D32" s="333" t="s">
        <v>981</v>
      </c>
      <c r="E32" s="52">
        <v>12</v>
      </c>
      <c r="F32" s="358">
        <v>14400</v>
      </c>
      <c r="G32" s="52" t="s">
        <v>800</v>
      </c>
      <c r="H32" s="56" t="s">
        <v>801</v>
      </c>
      <c r="I32" s="52" t="s">
        <v>802</v>
      </c>
      <c r="J32" s="344">
        <v>12342</v>
      </c>
      <c r="K32" s="344" t="s">
        <v>803</v>
      </c>
      <c r="L32" s="344">
        <v>12342</v>
      </c>
      <c r="M32" s="53"/>
      <c r="N32" s="91" t="s">
        <v>860</v>
      </c>
    </row>
    <row r="33" spans="1:14" ht="28" x14ac:dyDescent="0.35">
      <c r="A33" s="354" t="s">
        <v>74</v>
      </c>
      <c r="B33" s="52"/>
      <c r="C33" s="52" t="s">
        <v>74</v>
      </c>
      <c r="D33" s="52" t="s">
        <v>981</v>
      </c>
      <c r="E33" s="52">
        <v>7</v>
      </c>
      <c r="F33" s="358">
        <v>18200</v>
      </c>
      <c r="G33" s="52" t="s">
        <v>861</v>
      </c>
      <c r="H33" s="56" t="s">
        <v>862</v>
      </c>
      <c r="I33" s="55" t="s">
        <v>463</v>
      </c>
      <c r="J33" s="344">
        <v>19819.8</v>
      </c>
      <c r="K33" s="344" t="s">
        <v>863</v>
      </c>
      <c r="L33" s="344">
        <v>19819.8</v>
      </c>
      <c r="M33" s="53"/>
      <c r="N33" s="91" t="s">
        <v>899</v>
      </c>
    </row>
    <row r="34" spans="1:14" s="25" customFormat="1" ht="31" x14ac:dyDescent="0.35">
      <c r="A34" s="397"/>
      <c r="B34" s="332"/>
      <c r="C34" s="332" t="s">
        <v>75</v>
      </c>
      <c r="D34" s="332" t="s">
        <v>981</v>
      </c>
      <c r="E34" s="332">
        <v>1</v>
      </c>
      <c r="F34" s="364">
        <v>55000</v>
      </c>
      <c r="G34" s="384" t="s">
        <v>19</v>
      </c>
      <c r="H34" s="398" t="s">
        <v>19</v>
      </c>
      <c r="I34" s="384" t="s">
        <v>19</v>
      </c>
      <c r="J34" s="225" t="s">
        <v>19</v>
      </c>
      <c r="K34" s="225" t="s">
        <v>19</v>
      </c>
      <c r="L34" s="225" t="s">
        <v>19</v>
      </c>
      <c r="M34" s="334"/>
      <c r="N34" s="336" t="s">
        <v>927</v>
      </c>
    </row>
    <row r="35" spans="1:14" ht="42" x14ac:dyDescent="0.35">
      <c r="A35" s="354" t="s">
        <v>1029</v>
      </c>
      <c r="B35" s="52"/>
      <c r="C35" s="52" t="s">
        <v>76</v>
      </c>
      <c r="D35" s="52" t="s">
        <v>981</v>
      </c>
      <c r="E35" s="52">
        <v>210</v>
      </c>
      <c r="F35" s="358">
        <v>21000</v>
      </c>
      <c r="G35" s="52" t="s">
        <v>367</v>
      </c>
      <c r="H35" s="52" t="s">
        <v>368</v>
      </c>
      <c r="I35" s="52" t="s">
        <v>369</v>
      </c>
      <c r="J35" s="344">
        <v>24393.599999999999</v>
      </c>
      <c r="K35" s="344" t="s">
        <v>370</v>
      </c>
      <c r="L35" s="344">
        <v>24393.599999999999</v>
      </c>
      <c r="M35" s="53"/>
      <c r="N35" s="91" t="s">
        <v>496</v>
      </c>
    </row>
    <row r="36" spans="1:14" ht="31" x14ac:dyDescent="0.35">
      <c r="A36" s="47"/>
      <c r="B36" s="22"/>
      <c r="C36" s="22" t="s">
        <v>77</v>
      </c>
      <c r="D36" s="24" t="s">
        <v>981</v>
      </c>
      <c r="E36" s="22">
        <v>38</v>
      </c>
      <c r="F36" s="362">
        <v>121600</v>
      </c>
      <c r="G36" s="22"/>
      <c r="H36" s="51"/>
      <c r="I36" s="22"/>
      <c r="J36" s="346"/>
      <c r="K36" s="346"/>
      <c r="L36" s="346"/>
      <c r="M36" s="50"/>
      <c r="N36" s="89" t="s">
        <v>55</v>
      </c>
    </row>
    <row r="37" spans="1:14" ht="46.5" x14ac:dyDescent="0.35">
      <c r="A37" s="52" t="s">
        <v>78</v>
      </c>
      <c r="B37" s="52"/>
      <c r="C37" s="52" t="s">
        <v>78</v>
      </c>
      <c r="D37" s="52" t="s">
        <v>981</v>
      </c>
      <c r="E37" s="52">
        <v>1</v>
      </c>
      <c r="F37" s="358">
        <v>10300</v>
      </c>
      <c r="G37" s="52" t="s">
        <v>371</v>
      </c>
      <c r="H37" s="52" t="s">
        <v>372</v>
      </c>
      <c r="I37" s="52" t="s">
        <v>373</v>
      </c>
      <c r="J37" s="344">
        <v>10261.469999999999</v>
      </c>
      <c r="K37" s="344" t="s">
        <v>374</v>
      </c>
      <c r="L37" s="344">
        <v>10261.469999999999</v>
      </c>
      <c r="M37" s="54"/>
      <c r="N37" s="91" t="s">
        <v>496</v>
      </c>
    </row>
    <row r="38" spans="1:14" ht="15.5" x14ac:dyDescent="0.35">
      <c r="A38" s="106"/>
      <c r="B38" s="111"/>
      <c r="C38" s="111" t="s">
        <v>79</v>
      </c>
      <c r="D38" s="111" t="s">
        <v>981</v>
      </c>
      <c r="E38" s="111">
        <v>1</v>
      </c>
      <c r="F38" s="365">
        <v>2000</v>
      </c>
      <c r="G38" s="111" t="s">
        <v>80</v>
      </c>
      <c r="H38" s="114" t="s">
        <v>282</v>
      </c>
      <c r="I38" s="111" t="s">
        <v>81</v>
      </c>
      <c r="J38" s="157">
        <v>1936</v>
      </c>
      <c r="K38" s="157" t="s">
        <v>82</v>
      </c>
      <c r="L38" s="157">
        <v>1936</v>
      </c>
      <c r="M38" s="57"/>
      <c r="N38" s="168" t="s">
        <v>960</v>
      </c>
    </row>
    <row r="39" spans="1:14" ht="15.5" x14ac:dyDescent="0.35">
      <c r="A39" s="691" t="s">
        <v>1043</v>
      </c>
      <c r="B39" s="662"/>
      <c r="C39" s="658" t="s">
        <v>83</v>
      </c>
      <c r="D39" s="337" t="s">
        <v>981</v>
      </c>
      <c r="E39" s="667">
        <v>210</v>
      </c>
      <c r="F39" s="671">
        <v>21000</v>
      </c>
      <c r="G39" s="337" t="s">
        <v>677</v>
      </c>
      <c r="H39" s="446" t="s">
        <v>678</v>
      </c>
      <c r="I39" s="337" t="s">
        <v>679</v>
      </c>
      <c r="J39" s="447">
        <v>1046.05</v>
      </c>
      <c r="K39" s="447" t="s">
        <v>680</v>
      </c>
      <c r="L39" s="447">
        <v>1046.05</v>
      </c>
      <c r="M39" s="448"/>
      <c r="N39" s="449" t="s">
        <v>804</v>
      </c>
    </row>
    <row r="40" spans="1:14" ht="15.5" x14ac:dyDescent="0.35">
      <c r="A40" s="692"/>
      <c r="B40" s="663"/>
      <c r="C40" s="666"/>
      <c r="D40" s="337" t="s">
        <v>981</v>
      </c>
      <c r="E40" s="668"/>
      <c r="F40" s="672"/>
      <c r="G40" s="337" t="s">
        <v>805</v>
      </c>
      <c r="H40" s="446" t="s">
        <v>806</v>
      </c>
      <c r="I40" s="337" t="s">
        <v>679</v>
      </c>
      <c r="J40" s="447">
        <v>4107.95</v>
      </c>
      <c r="K40" s="447" t="s">
        <v>807</v>
      </c>
      <c r="L40" s="447">
        <v>4107.95</v>
      </c>
      <c r="M40" s="448"/>
      <c r="N40" s="449" t="s">
        <v>900</v>
      </c>
    </row>
    <row r="41" spans="1:14" ht="32.25" customHeight="1" x14ac:dyDescent="0.35">
      <c r="A41" s="692"/>
      <c r="B41" s="663"/>
      <c r="C41" s="666"/>
      <c r="D41" s="450" t="s">
        <v>981</v>
      </c>
      <c r="E41" s="668"/>
      <c r="F41" s="672"/>
      <c r="G41" s="337" t="s">
        <v>901</v>
      </c>
      <c r="H41" s="446" t="s">
        <v>902</v>
      </c>
      <c r="I41" s="337" t="s">
        <v>679</v>
      </c>
      <c r="J41" s="447">
        <v>1486.49</v>
      </c>
      <c r="K41" s="451" t="s">
        <v>903</v>
      </c>
      <c r="L41" s="671">
        <v>4921.08</v>
      </c>
      <c r="M41" s="675"/>
      <c r="N41" s="677" t="s">
        <v>928</v>
      </c>
    </row>
    <row r="42" spans="1:14" ht="18.75" customHeight="1" x14ac:dyDescent="0.35">
      <c r="A42" s="692"/>
      <c r="B42" s="664"/>
      <c r="C42" s="658"/>
      <c r="D42" s="337" t="s">
        <v>981</v>
      </c>
      <c r="E42" s="669"/>
      <c r="F42" s="673"/>
      <c r="G42" s="337" t="s">
        <v>904</v>
      </c>
      <c r="H42" s="446" t="s">
        <v>905</v>
      </c>
      <c r="I42" s="337" t="s">
        <v>679</v>
      </c>
      <c r="J42" s="447">
        <v>3434.59</v>
      </c>
      <c r="K42" s="452"/>
      <c r="L42" s="674"/>
      <c r="M42" s="676"/>
      <c r="N42" s="678"/>
    </row>
    <row r="43" spans="1:14" ht="21.75" customHeight="1" x14ac:dyDescent="0.35">
      <c r="A43" s="692"/>
      <c r="B43" s="663"/>
      <c r="C43" s="666"/>
      <c r="D43" s="453" t="s">
        <v>981</v>
      </c>
      <c r="E43" s="668"/>
      <c r="F43" s="672"/>
      <c r="G43" s="337" t="s">
        <v>929</v>
      </c>
      <c r="H43" s="446" t="s">
        <v>930</v>
      </c>
      <c r="I43" s="337" t="s">
        <v>679</v>
      </c>
      <c r="J43" s="447">
        <v>3125.43</v>
      </c>
      <c r="K43" s="452" t="s">
        <v>931</v>
      </c>
      <c r="L43" s="452">
        <v>3125.43</v>
      </c>
      <c r="M43" s="454"/>
      <c r="N43" s="679" t="s">
        <v>932</v>
      </c>
    </row>
    <row r="44" spans="1:14" ht="26.25" customHeight="1" x14ac:dyDescent="0.35">
      <c r="A44" s="692"/>
      <c r="B44" s="663"/>
      <c r="C44" s="666"/>
      <c r="D44" s="337" t="s">
        <v>981</v>
      </c>
      <c r="E44" s="668"/>
      <c r="F44" s="672"/>
      <c r="G44" s="337" t="s">
        <v>933</v>
      </c>
      <c r="H44" s="446" t="s">
        <v>934</v>
      </c>
      <c r="I44" s="337" t="s">
        <v>679</v>
      </c>
      <c r="J44" s="447">
        <v>2604.5300000000002</v>
      </c>
      <c r="K44" s="452" t="s">
        <v>935</v>
      </c>
      <c r="L44" s="447">
        <v>2604.5300000000002</v>
      </c>
      <c r="M44" s="454"/>
      <c r="N44" s="666"/>
    </row>
    <row r="45" spans="1:14" ht="32.25" customHeight="1" x14ac:dyDescent="0.35">
      <c r="A45" s="692"/>
      <c r="B45" s="663"/>
      <c r="C45" s="666"/>
      <c r="D45" s="337" t="s">
        <v>981</v>
      </c>
      <c r="E45" s="668"/>
      <c r="F45" s="672"/>
      <c r="G45" s="337" t="s">
        <v>936</v>
      </c>
      <c r="H45" s="446" t="s">
        <v>888</v>
      </c>
      <c r="I45" s="337" t="s">
        <v>679</v>
      </c>
      <c r="J45" s="447">
        <v>3747.98</v>
      </c>
      <c r="K45" s="452" t="s">
        <v>937</v>
      </c>
      <c r="L45" s="447">
        <v>3747.98</v>
      </c>
      <c r="M45" s="454"/>
      <c r="N45" s="658"/>
    </row>
    <row r="46" spans="1:14" ht="21" customHeight="1" x14ac:dyDescent="0.35">
      <c r="A46" s="693"/>
      <c r="B46" s="665"/>
      <c r="C46" s="659"/>
      <c r="D46" s="337" t="s">
        <v>981</v>
      </c>
      <c r="E46" s="670"/>
      <c r="F46" s="674"/>
      <c r="G46" s="337" t="s">
        <v>938</v>
      </c>
      <c r="H46" s="446" t="s">
        <v>939</v>
      </c>
      <c r="I46" s="337" t="s">
        <v>679</v>
      </c>
      <c r="J46" s="447">
        <v>27.23</v>
      </c>
      <c r="K46" s="452" t="s">
        <v>940</v>
      </c>
      <c r="L46" s="452">
        <v>27.23</v>
      </c>
      <c r="M46" s="454"/>
      <c r="N46" s="659"/>
    </row>
    <row r="47" spans="1:14" ht="46.5" x14ac:dyDescent="0.35">
      <c r="B47" s="22"/>
      <c r="C47" s="22" t="s">
        <v>84</v>
      </c>
      <c r="D47" s="24" t="s">
        <v>981</v>
      </c>
      <c r="E47" s="22">
        <v>1</v>
      </c>
      <c r="F47" s="362">
        <v>20000</v>
      </c>
      <c r="G47" s="22"/>
      <c r="H47" s="51"/>
      <c r="I47" s="22"/>
      <c r="J47" s="346"/>
      <c r="K47" s="346"/>
      <c r="L47" s="346"/>
      <c r="M47" s="50"/>
      <c r="N47" s="95" t="s">
        <v>375</v>
      </c>
    </row>
    <row r="48" spans="1:14" ht="63.75" customHeight="1" x14ac:dyDescent="0.35">
      <c r="A48" s="368" t="s">
        <v>1039</v>
      </c>
      <c r="B48" s="338"/>
      <c r="C48" s="338" t="s">
        <v>85</v>
      </c>
      <c r="D48" s="338" t="s">
        <v>981</v>
      </c>
      <c r="E48" s="338">
        <v>1</v>
      </c>
      <c r="F48" s="366">
        <v>11500</v>
      </c>
      <c r="G48" s="338" t="s">
        <v>681</v>
      </c>
      <c r="H48" s="339" t="s">
        <v>657</v>
      </c>
      <c r="I48" s="338" t="s">
        <v>682</v>
      </c>
      <c r="J48" s="350">
        <v>11930.6</v>
      </c>
      <c r="K48" s="350" t="s">
        <v>683</v>
      </c>
      <c r="L48" s="350">
        <v>11930.6</v>
      </c>
      <c r="M48" s="340"/>
      <c r="N48" s="341" t="s">
        <v>799</v>
      </c>
    </row>
    <row r="49" spans="1:14" ht="15.5" x14ac:dyDescent="0.35">
      <c r="B49" s="356"/>
      <c r="C49" s="356" t="s">
        <v>86</v>
      </c>
      <c r="D49" s="357" t="s">
        <v>981</v>
      </c>
      <c r="E49" s="356">
        <v>1</v>
      </c>
      <c r="F49" s="367">
        <v>58000</v>
      </c>
      <c r="G49" s="22"/>
      <c r="H49" s="51"/>
      <c r="I49" s="22"/>
      <c r="J49" s="346"/>
      <c r="K49" s="346"/>
      <c r="L49" s="346"/>
      <c r="M49" s="50"/>
      <c r="N49" s="89" t="s">
        <v>55</v>
      </c>
    </row>
    <row r="50" spans="1:14" ht="31" x14ac:dyDescent="0.35">
      <c r="A50" s="368" t="s">
        <v>1028</v>
      </c>
      <c r="B50" s="682"/>
      <c r="C50" s="683" t="s">
        <v>87</v>
      </c>
      <c r="D50" s="683" t="s">
        <v>981</v>
      </c>
      <c r="E50" s="685">
        <v>10</v>
      </c>
      <c r="F50" s="687">
        <v>9800</v>
      </c>
      <c r="G50" s="338" t="s">
        <v>376</v>
      </c>
      <c r="H50" s="338" t="s">
        <v>377</v>
      </c>
      <c r="I50" s="338" t="s">
        <v>378</v>
      </c>
      <c r="J50" s="350">
        <v>1488.3</v>
      </c>
      <c r="K50" s="350" t="s">
        <v>379</v>
      </c>
      <c r="L50" s="350">
        <v>1488.3</v>
      </c>
      <c r="M50" s="340"/>
      <c r="N50" s="658" t="s">
        <v>808</v>
      </c>
    </row>
    <row r="51" spans="1:14" ht="31" x14ac:dyDescent="0.35">
      <c r="A51" s="368" t="s">
        <v>1037</v>
      </c>
      <c r="B51" s="682"/>
      <c r="C51" s="684"/>
      <c r="D51" s="684"/>
      <c r="E51" s="686"/>
      <c r="F51" s="688"/>
      <c r="G51" s="338" t="s">
        <v>684</v>
      </c>
      <c r="H51" s="338" t="s">
        <v>678</v>
      </c>
      <c r="I51" s="338" t="s">
        <v>378</v>
      </c>
      <c r="J51" s="350">
        <v>7235.8</v>
      </c>
      <c r="K51" s="350" t="s">
        <v>685</v>
      </c>
      <c r="L51" s="350">
        <v>7235.8</v>
      </c>
      <c r="M51" s="340"/>
      <c r="N51" s="659"/>
    </row>
    <row r="52" spans="1:14" ht="46.5" x14ac:dyDescent="0.35">
      <c r="A52" s="338" t="s">
        <v>88</v>
      </c>
      <c r="B52" s="338"/>
      <c r="C52" s="338" t="s">
        <v>88</v>
      </c>
      <c r="D52" s="338" t="s">
        <v>981</v>
      </c>
      <c r="E52" s="338">
        <v>10</v>
      </c>
      <c r="F52" s="366">
        <v>3700</v>
      </c>
      <c r="G52" s="338" t="s">
        <v>906</v>
      </c>
      <c r="H52" s="339" t="s">
        <v>907</v>
      </c>
      <c r="I52" s="338" t="s">
        <v>908</v>
      </c>
      <c r="J52" s="350">
        <v>1073.75</v>
      </c>
      <c r="K52" s="350" t="s">
        <v>909</v>
      </c>
      <c r="L52" s="350">
        <v>1073.75</v>
      </c>
      <c r="M52" s="340"/>
      <c r="N52" s="341" t="s">
        <v>922</v>
      </c>
    </row>
    <row r="53" spans="1:14" ht="15.75" customHeight="1" x14ac:dyDescent="0.35">
      <c r="A53" s="695" t="s">
        <v>1025</v>
      </c>
      <c r="B53" s="700"/>
      <c r="C53" s="695" t="s">
        <v>89</v>
      </c>
      <c r="D53" s="695" t="s">
        <v>981</v>
      </c>
      <c r="E53" s="702">
        <v>7</v>
      </c>
      <c r="F53" s="704">
        <v>2100</v>
      </c>
      <c r="G53" s="190">
        <v>191000622</v>
      </c>
      <c r="H53" s="191">
        <v>44210</v>
      </c>
      <c r="I53" s="190" t="s">
        <v>90</v>
      </c>
      <c r="J53" s="246">
        <v>645.41</v>
      </c>
      <c r="K53" s="192" t="s">
        <v>91</v>
      </c>
      <c r="L53" s="704">
        <v>908.56</v>
      </c>
      <c r="M53" s="680"/>
      <c r="N53" s="609" t="s">
        <v>998</v>
      </c>
    </row>
    <row r="54" spans="1:14" ht="15.5" x14ac:dyDescent="0.35">
      <c r="A54" s="696"/>
      <c r="B54" s="701"/>
      <c r="C54" s="696"/>
      <c r="D54" s="696" t="s">
        <v>981</v>
      </c>
      <c r="E54" s="703"/>
      <c r="F54" s="705"/>
      <c r="G54" s="190">
        <v>191000827</v>
      </c>
      <c r="H54" s="191">
        <v>44214</v>
      </c>
      <c r="I54" s="190" t="s">
        <v>90</v>
      </c>
      <c r="J54" s="246">
        <v>263.14999999999998</v>
      </c>
      <c r="K54" s="193"/>
      <c r="L54" s="705"/>
      <c r="M54" s="681"/>
      <c r="N54" s="610"/>
    </row>
    <row r="55" spans="1:14" ht="34.5" customHeight="1" x14ac:dyDescent="0.35">
      <c r="B55" s="22"/>
      <c r="C55" s="22" t="s">
        <v>92</v>
      </c>
      <c r="D55" s="24" t="s">
        <v>981</v>
      </c>
      <c r="E55" s="22">
        <v>12</v>
      </c>
      <c r="F55" s="362">
        <v>7200</v>
      </c>
      <c r="G55" s="22"/>
      <c r="H55" s="51"/>
      <c r="I55" s="22"/>
      <c r="J55" s="346"/>
      <c r="K55" s="346"/>
      <c r="L55" s="346"/>
      <c r="M55" s="50"/>
      <c r="N55" s="95" t="s">
        <v>910</v>
      </c>
    </row>
    <row r="56" spans="1:14" ht="66.75" customHeight="1" x14ac:dyDescent="0.35">
      <c r="A56" s="369"/>
      <c r="B56" s="338"/>
      <c r="C56" s="342" t="s">
        <v>380</v>
      </c>
      <c r="D56" s="338" t="s">
        <v>981</v>
      </c>
      <c r="E56" s="338">
        <v>4</v>
      </c>
      <c r="F56" s="366">
        <v>19810.12</v>
      </c>
      <c r="G56" s="338" t="s">
        <v>19</v>
      </c>
      <c r="H56" s="339" t="s">
        <v>19</v>
      </c>
      <c r="I56" s="338" t="s">
        <v>19</v>
      </c>
      <c r="J56" s="350" t="s">
        <v>19</v>
      </c>
      <c r="K56" s="350" t="s">
        <v>19</v>
      </c>
      <c r="L56" s="350" t="s">
        <v>19</v>
      </c>
      <c r="M56" s="340"/>
      <c r="N56" s="698" t="s">
        <v>381</v>
      </c>
    </row>
    <row r="57" spans="1:14" ht="69" customHeight="1" x14ac:dyDescent="0.35">
      <c r="A57" s="369"/>
      <c r="B57" s="338"/>
      <c r="C57" s="338" t="s">
        <v>382</v>
      </c>
      <c r="D57" s="338" t="s">
        <v>981</v>
      </c>
      <c r="E57" s="338">
        <v>2</v>
      </c>
      <c r="F57" s="366">
        <v>7475.38</v>
      </c>
      <c r="G57" s="338" t="s">
        <v>19</v>
      </c>
      <c r="H57" s="339" t="s">
        <v>19</v>
      </c>
      <c r="I57" s="338" t="s">
        <v>19</v>
      </c>
      <c r="J57" s="350" t="s">
        <v>19</v>
      </c>
      <c r="K57" s="350" t="s">
        <v>19</v>
      </c>
      <c r="L57" s="350" t="s">
        <v>19</v>
      </c>
      <c r="M57" s="340"/>
      <c r="N57" s="699"/>
    </row>
    <row r="58" spans="1:14" ht="15.5" x14ac:dyDescent="0.35">
      <c r="B58" s="8"/>
      <c r="C58" s="8"/>
      <c r="D58" s="8"/>
      <c r="E58" s="8"/>
      <c r="F58" s="8"/>
      <c r="G58" s="122"/>
      <c r="H58" s="16"/>
      <c r="I58" s="8"/>
      <c r="J58" s="8"/>
      <c r="K58" s="8"/>
      <c r="L58" s="8"/>
      <c r="M58" s="8"/>
      <c r="N58" s="8"/>
    </row>
    <row r="59" spans="1:14" ht="36" customHeight="1" x14ac:dyDescent="0.35">
      <c r="A59" s="689" t="s">
        <v>957</v>
      </c>
      <c r="B59" s="689"/>
      <c r="C59" s="689"/>
      <c r="D59" s="689"/>
      <c r="E59" s="689"/>
      <c r="F59" s="689"/>
      <c r="G59" s="689"/>
      <c r="H59" s="689"/>
      <c r="I59" s="689"/>
      <c r="J59" s="689"/>
      <c r="K59" s="689"/>
      <c r="L59" s="689"/>
      <c r="M59" s="689"/>
      <c r="N59" s="690"/>
    </row>
    <row r="61" spans="1:14" x14ac:dyDescent="0.35">
      <c r="B61" s="25"/>
    </row>
  </sheetData>
  <autoFilter ref="A7:N57" xr:uid="{5DC80442-BFD7-4497-B271-A4F0FB511E67}"/>
  <mergeCells count="61">
    <mergeCell ref="A59:N59"/>
    <mergeCell ref="A39:A46"/>
    <mergeCell ref="A2:B2"/>
    <mergeCell ref="A5:F5"/>
    <mergeCell ref="D53:D54"/>
    <mergeCell ref="D50:D51"/>
    <mergeCell ref="A53:A54"/>
    <mergeCell ref="A20:A21"/>
    <mergeCell ref="D20:D21"/>
    <mergeCell ref="N53:N54"/>
    <mergeCell ref="N56:N57"/>
    <mergeCell ref="B53:B54"/>
    <mergeCell ref="C53:C54"/>
    <mergeCell ref="E53:E54"/>
    <mergeCell ref="F53:F54"/>
    <mergeCell ref="L53:L54"/>
    <mergeCell ref="M53:M54"/>
    <mergeCell ref="B50:B51"/>
    <mergeCell ref="C50:C51"/>
    <mergeCell ref="E50:E51"/>
    <mergeCell ref="F50:F51"/>
    <mergeCell ref="N50:N51"/>
    <mergeCell ref="L28:L29"/>
    <mergeCell ref="M28:M29"/>
    <mergeCell ref="N28:N29"/>
    <mergeCell ref="B39:B46"/>
    <mergeCell ref="C39:C46"/>
    <mergeCell ref="E39:E46"/>
    <mergeCell ref="F39:F46"/>
    <mergeCell ref="L41:L42"/>
    <mergeCell ref="M41:M42"/>
    <mergeCell ref="N41:N42"/>
    <mergeCell ref="N43:N46"/>
    <mergeCell ref="B24:B25"/>
    <mergeCell ref="C24:C25"/>
    <mergeCell ref="E24:E25"/>
    <mergeCell ref="F24:F25"/>
    <mergeCell ref="B28:B29"/>
    <mergeCell ref="C28:C29"/>
    <mergeCell ref="E28:E29"/>
    <mergeCell ref="F28:F29"/>
    <mergeCell ref="B14:B15"/>
    <mergeCell ref="C14:C15"/>
    <mergeCell ref="E14:E15"/>
    <mergeCell ref="F14:F15"/>
    <mergeCell ref="B20:B21"/>
    <mergeCell ref="C20:C21"/>
    <mergeCell ref="E20:E21"/>
    <mergeCell ref="F20:F21"/>
    <mergeCell ref="A6:A7"/>
    <mergeCell ref="A8:B8"/>
    <mergeCell ref="D6:D7"/>
    <mergeCell ref="B4:N4"/>
    <mergeCell ref="G5:N5"/>
    <mergeCell ref="B6:B7"/>
    <mergeCell ref="C6:C7"/>
    <mergeCell ref="E6:E7"/>
    <mergeCell ref="F6:F7"/>
    <mergeCell ref="G6:J6"/>
    <mergeCell ref="N6:N7"/>
    <mergeCell ref="K6:M6"/>
  </mergeCells>
  <pageMargins left="0.7" right="0.7" top="0.75" bottom="0.75" header="0.3" footer="0.3"/>
  <pageSetup paperSize="9" scale="31"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C78B-04D1-41D1-8214-D3FFCB5D2EAA}">
  <sheetPr>
    <tabColor rgb="FF00B0F0"/>
  </sheetPr>
  <dimension ref="A1:N75"/>
  <sheetViews>
    <sheetView view="pageBreakPreview" zoomScale="60" zoomScaleNormal="80" workbookViewId="0">
      <selection activeCell="G21" sqref="G21"/>
    </sheetView>
  </sheetViews>
  <sheetFormatPr defaultColWidth="9.1796875" defaultRowHeight="14" x14ac:dyDescent="0.35"/>
  <cols>
    <col min="1" max="1" width="19.54296875" style="11" customWidth="1"/>
    <col min="2" max="2" width="16" style="11" customWidth="1"/>
    <col min="3" max="3" width="31.81640625" style="11" customWidth="1"/>
    <col min="4" max="4" width="26" style="11" customWidth="1"/>
    <col min="5" max="5" width="7" style="11" customWidth="1"/>
    <col min="6" max="6" width="15.453125" style="11" customWidth="1"/>
    <col min="7" max="7" width="14.453125" style="118" customWidth="1"/>
    <col min="8" max="8" width="15" style="11" customWidth="1"/>
    <col min="9" max="9" width="21" style="11" customWidth="1"/>
    <col min="10" max="10" width="14.453125" style="11" customWidth="1"/>
    <col min="11" max="11" width="17.453125" style="11" customWidth="1"/>
    <col min="12" max="12" width="14.81640625" style="11" customWidth="1"/>
    <col min="13" max="13" width="14.1796875" style="11" customWidth="1"/>
    <col min="14" max="14" width="32.81640625" style="11" customWidth="1"/>
    <col min="15" max="15" width="10" style="11" bestFit="1" customWidth="1"/>
    <col min="16" max="16384" width="9.1796875" style="11"/>
  </cols>
  <sheetData>
    <row r="1" spans="1:14" ht="15.5" x14ac:dyDescent="0.35">
      <c r="B1" s="8"/>
      <c r="C1" s="8"/>
      <c r="D1" s="8"/>
      <c r="E1" s="8"/>
      <c r="F1" s="8"/>
      <c r="G1" s="116"/>
      <c r="H1" s="8"/>
      <c r="I1" s="8"/>
      <c r="J1" s="8"/>
      <c r="K1" s="8"/>
      <c r="M1" s="8"/>
      <c r="N1" s="9"/>
    </row>
    <row r="2" spans="1:14" ht="24" customHeight="1" x14ac:dyDescent="0.35">
      <c r="A2" s="43" t="s">
        <v>289</v>
      </c>
      <c r="B2" s="43"/>
      <c r="C2" s="8"/>
      <c r="D2" s="8"/>
      <c r="E2" s="8"/>
      <c r="F2" s="8"/>
      <c r="G2" s="116"/>
      <c r="H2" s="8"/>
      <c r="I2" s="147"/>
      <c r="J2" s="148"/>
      <c r="K2" s="148"/>
      <c r="L2" s="371"/>
      <c r="M2" s="8"/>
      <c r="N2" s="9"/>
    </row>
    <row r="3" spans="1:14" ht="16.5" customHeight="1" x14ac:dyDescent="0.35">
      <c r="B3" s="710"/>
      <c r="C3" s="710"/>
      <c r="D3" s="710"/>
      <c r="E3" s="710"/>
      <c r="F3" s="710"/>
      <c r="G3" s="116"/>
      <c r="H3" s="8"/>
      <c r="I3" s="147"/>
      <c r="J3" s="148"/>
      <c r="K3" s="148"/>
      <c r="L3" s="228"/>
      <c r="M3" s="8"/>
      <c r="N3" s="9"/>
    </row>
    <row r="4" spans="1:14" ht="16.5" customHeight="1" x14ac:dyDescent="0.35">
      <c r="B4" s="117"/>
      <c r="C4" s="117"/>
      <c r="D4" s="129"/>
      <c r="E4" s="117"/>
      <c r="F4" s="117"/>
      <c r="G4" s="116"/>
      <c r="H4" s="8"/>
      <c r="I4" s="147"/>
      <c r="J4" s="147"/>
      <c r="K4" s="147"/>
      <c r="L4" s="372"/>
      <c r="M4" s="8"/>
      <c r="N4" s="9"/>
    </row>
    <row r="5" spans="1:14" ht="36.75" customHeight="1" x14ac:dyDescent="0.35">
      <c r="B5" s="711" t="s">
        <v>9</v>
      </c>
      <c r="C5" s="711"/>
      <c r="D5" s="711"/>
      <c r="E5" s="711"/>
      <c r="F5" s="712"/>
      <c r="G5" s="713"/>
      <c r="H5" s="713"/>
      <c r="I5" s="713"/>
      <c r="J5" s="713"/>
      <c r="K5" s="713"/>
      <c r="L5" s="713"/>
      <c r="M5" s="713"/>
      <c r="N5" s="714"/>
    </row>
    <row r="6" spans="1:14" ht="24.75" customHeight="1" x14ac:dyDescent="0.35">
      <c r="A6" s="600" t="s">
        <v>48</v>
      </c>
      <c r="B6" s="600"/>
      <c r="C6" s="600"/>
      <c r="D6" s="600"/>
      <c r="E6" s="600"/>
      <c r="F6" s="600"/>
      <c r="G6" s="593" t="s">
        <v>9</v>
      </c>
      <c r="H6" s="594"/>
      <c r="I6" s="594"/>
      <c r="J6" s="594"/>
      <c r="K6" s="594"/>
      <c r="L6" s="594"/>
      <c r="M6" s="594"/>
      <c r="N6" s="595"/>
    </row>
    <row r="7" spans="1:14" ht="24" customHeight="1" x14ac:dyDescent="0.35">
      <c r="A7" s="596" t="s">
        <v>950</v>
      </c>
      <c r="B7" s="596" t="s">
        <v>10</v>
      </c>
      <c r="C7" s="596" t="s">
        <v>233</v>
      </c>
      <c r="D7" s="604" t="s">
        <v>951</v>
      </c>
      <c r="E7" s="596" t="s">
        <v>11</v>
      </c>
      <c r="F7" s="596" t="s">
        <v>12</v>
      </c>
      <c r="G7" s="593" t="s">
        <v>946</v>
      </c>
      <c r="H7" s="594"/>
      <c r="I7" s="594"/>
      <c r="J7" s="595"/>
      <c r="K7" s="593" t="s">
        <v>948</v>
      </c>
      <c r="L7" s="594"/>
      <c r="M7" s="595"/>
      <c r="N7" s="604" t="s">
        <v>947</v>
      </c>
    </row>
    <row r="8" spans="1:14" ht="45.75" customHeight="1" x14ac:dyDescent="0.35">
      <c r="A8" s="597"/>
      <c r="B8" s="597"/>
      <c r="C8" s="597"/>
      <c r="D8" s="597"/>
      <c r="E8" s="597"/>
      <c r="F8" s="597"/>
      <c r="G8" s="12" t="s">
        <v>14</v>
      </c>
      <c r="H8" s="12" t="s">
        <v>15</v>
      </c>
      <c r="I8" s="12" t="s">
        <v>16</v>
      </c>
      <c r="J8" s="12" t="s">
        <v>17</v>
      </c>
      <c r="K8" s="12" t="s">
        <v>952</v>
      </c>
      <c r="L8" s="44" t="s">
        <v>953</v>
      </c>
      <c r="M8" s="12" t="s">
        <v>954</v>
      </c>
      <c r="N8" s="597"/>
    </row>
    <row r="9" spans="1:14" ht="27" customHeight="1" x14ac:dyDescent="0.35">
      <c r="A9" s="715" t="s">
        <v>18</v>
      </c>
      <c r="B9" s="716"/>
      <c r="C9" s="29" t="s">
        <v>19</v>
      </c>
      <c r="D9" s="29"/>
      <c r="E9" s="29"/>
      <c r="F9" s="101">
        <f>SUM(F10:F72)</f>
        <v>1144327.69</v>
      </c>
      <c r="G9" s="29" t="s">
        <v>19</v>
      </c>
      <c r="H9" s="29" t="s">
        <v>19</v>
      </c>
      <c r="I9" s="29" t="s">
        <v>19</v>
      </c>
      <c r="J9" s="101">
        <f>SUM(J10:J72)</f>
        <v>459173.10000000009</v>
      </c>
      <c r="K9" s="101"/>
      <c r="L9" s="101">
        <f>SUM(L10:L72)</f>
        <v>459173.10000000009</v>
      </c>
      <c r="M9" s="29"/>
      <c r="N9" s="29" t="s">
        <v>19</v>
      </c>
    </row>
    <row r="10" spans="1:14" ht="43.4" customHeight="1" x14ac:dyDescent="0.35">
      <c r="A10" s="455"/>
      <c r="B10" s="717" t="s">
        <v>290</v>
      </c>
      <c r="C10" s="332" t="s">
        <v>291</v>
      </c>
      <c r="D10" s="332" t="s">
        <v>981</v>
      </c>
      <c r="E10" s="335">
        <v>4</v>
      </c>
      <c r="F10" s="439">
        <v>22000</v>
      </c>
      <c r="G10" s="336"/>
      <c r="H10" s="440"/>
      <c r="I10" s="441"/>
      <c r="J10" s="442"/>
      <c r="K10" s="442"/>
      <c r="L10" s="349"/>
      <c r="M10" s="334"/>
      <c r="N10" s="336"/>
    </row>
    <row r="11" spans="1:14" ht="32.25" customHeight="1" x14ac:dyDescent="0.35">
      <c r="A11" s="445" t="s">
        <v>1064</v>
      </c>
      <c r="B11" s="717"/>
      <c r="C11" s="333" t="s">
        <v>292</v>
      </c>
      <c r="D11" s="333" t="s">
        <v>981</v>
      </c>
      <c r="E11" s="92">
        <v>4</v>
      </c>
      <c r="F11" s="434">
        <v>2600</v>
      </c>
      <c r="G11" s="435">
        <v>21480</v>
      </c>
      <c r="H11" s="436">
        <v>44349</v>
      </c>
      <c r="I11" s="437" t="s">
        <v>742</v>
      </c>
      <c r="J11" s="438">
        <v>798.6</v>
      </c>
      <c r="K11" s="438" t="s">
        <v>879</v>
      </c>
      <c r="L11" s="348">
        <v>798.6</v>
      </c>
      <c r="M11" s="93"/>
      <c r="N11" s="435" t="s">
        <v>740</v>
      </c>
    </row>
    <row r="12" spans="1:14" ht="16" customHeight="1" x14ac:dyDescent="0.35">
      <c r="A12" s="455"/>
      <c r="B12" s="717"/>
      <c r="C12" s="332" t="s">
        <v>150</v>
      </c>
      <c r="D12" s="332" t="s">
        <v>981</v>
      </c>
      <c r="E12" s="335">
        <v>16</v>
      </c>
      <c r="F12" s="439">
        <v>19200</v>
      </c>
      <c r="G12" s="336"/>
      <c r="H12" s="440"/>
      <c r="I12" s="441"/>
      <c r="J12" s="442"/>
      <c r="K12" s="442"/>
      <c r="L12" s="349"/>
      <c r="M12" s="334"/>
      <c r="N12" s="336"/>
    </row>
    <row r="13" spans="1:14" ht="27.75" customHeight="1" x14ac:dyDescent="0.35">
      <c r="A13" s="445" t="s">
        <v>133</v>
      </c>
      <c r="B13" s="717"/>
      <c r="C13" s="333" t="s">
        <v>293</v>
      </c>
      <c r="D13" s="333" t="s">
        <v>981</v>
      </c>
      <c r="E13" s="92">
        <v>10</v>
      </c>
      <c r="F13" s="434">
        <v>9075</v>
      </c>
      <c r="G13" s="435">
        <v>285041</v>
      </c>
      <c r="H13" s="436" t="s">
        <v>294</v>
      </c>
      <c r="I13" s="437" t="s">
        <v>295</v>
      </c>
      <c r="J13" s="438">
        <v>9075</v>
      </c>
      <c r="K13" s="438" t="s">
        <v>739</v>
      </c>
      <c r="L13" s="348">
        <v>9075</v>
      </c>
      <c r="M13" s="93"/>
      <c r="N13" s="435" t="s">
        <v>740</v>
      </c>
    </row>
    <row r="14" spans="1:14" ht="28.5" customHeight="1" x14ac:dyDescent="0.35">
      <c r="A14" s="455"/>
      <c r="B14" s="717"/>
      <c r="C14" s="332" t="s">
        <v>293</v>
      </c>
      <c r="D14" s="332" t="s">
        <v>981</v>
      </c>
      <c r="E14" s="335">
        <v>5</v>
      </c>
      <c r="F14" s="439">
        <v>2925</v>
      </c>
      <c r="G14" s="336"/>
      <c r="H14" s="440"/>
      <c r="I14" s="441"/>
      <c r="J14" s="442"/>
      <c r="K14" s="442"/>
      <c r="L14" s="349"/>
      <c r="M14" s="334"/>
      <c r="N14" s="336"/>
    </row>
    <row r="15" spans="1:14" ht="27.75" customHeight="1" x14ac:dyDescent="0.35">
      <c r="A15" s="445" t="s">
        <v>1061</v>
      </c>
      <c r="B15" s="717"/>
      <c r="C15" s="333" t="s">
        <v>296</v>
      </c>
      <c r="D15" s="333" t="s">
        <v>981</v>
      </c>
      <c r="E15" s="92">
        <v>4</v>
      </c>
      <c r="F15" s="434">
        <v>18000</v>
      </c>
      <c r="G15" s="435">
        <v>110358</v>
      </c>
      <c r="H15" s="436">
        <v>44334</v>
      </c>
      <c r="I15" s="437" t="s">
        <v>744</v>
      </c>
      <c r="J15" s="438">
        <v>15555.76</v>
      </c>
      <c r="K15" s="438" t="s">
        <v>880</v>
      </c>
      <c r="L15" s="348">
        <v>15555.76</v>
      </c>
      <c r="M15" s="93"/>
      <c r="N15" s="435" t="s">
        <v>740</v>
      </c>
    </row>
    <row r="16" spans="1:14" ht="33.65" customHeight="1" x14ac:dyDescent="0.35">
      <c r="A16" s="445" t="s">
        <v>189</v>
      </c>
      <c r="B16" s="717"/>
      <c r="C16" s="333" t="s">
        <v>297</v>
      </c>
      <c r="D16" s="333" t="s">
        <v>981</v>
      </c>
      <c r="E16" s="92">
        <v>1</v>
      </c>
      <c r="F16" s="434">
        <v>6500</v>
      </c>
      <c r="G16" s="435">
        <v>168</v>
      </c>
      <c r="H16" s="436">
        <v>44349</v>
      </c>
      <c r="I16" s="437" t="s">
        <v>881</v>
      </c>
      <c r="J16" s="438">
        <v>5203</v>
      </c>
      <c r="K16" s="438" t="s">
        <v>882</v>
      </c>
      <c r="L16" s="348">
        <v>5203</v>
      </c>
      <c r="M16" s="93"/>
      <c r="N16" s="435" t="s">
        <v>740</v>
      </c>
    </row>
    <row r="17" spans="1:14" ht="25.5" customHeight="1" x14ac:dyDescent="0.35">
      <c r="A17" s="445" t="s">
        <v>570</v>
      </c>
      <c r="B17" s="717"/>
      <c r="C17" s="333" t="s">
        <v>298</v>
      </c>
      <c r="D17" s="333" t="s">
        <v>981</v>
      </c>
      <c r="E17" s="92">
        <v>7</v>
      </c>
      <c r="F17" s="434">
        <v>10248.700000000001</v>
      </c>
      <c r="G17" s="435">
        <v>21332</v>
      </c>
      <c r="H17" s="436">
        <v>44327</v>
      </c>
      <c r="I17" s="437" t="s">
        <v>661</v>
      </c>
      <c r="J17" s="438">
        <v>10248.700000000001</v>
      </c>
      <c r="K17" s="438" t="s">
        <v>824</v>
      </c>
      <c r="L17" s="348">
        <v>10248.700000000001</v>
      </c>
      <c r="M17" s="93"/>
      <c r="N17" s="435" t="s">
        <v>740</v>
      </c>
    </row>
    <row r="18" spans="1:14" ht="28.5" customHeight="1" x14ac:dyDescent="0.35">
      <c r="A18" s="445" t="s">
        <v>570</v>
      </c>
      <c r="B18" s="717"/>
      <c r="C18" s="333" t="s">
        <v>298</v>
      </c>
      <c r="D18" s="333" t="s">
        <v>981</v>
      </c>
      <c r="E18" s="92">
        <v>13</v>
      </c>
      <c r="F18" s="434">
        <v>5751.3</v>
      </c>
      <c r="G18" s="435">
        <v>21480</v>
      </c>
      <c r="H18" s="436">
        <v>44349</v>
      </c>
      <c r="I18" s="437" t="s">
        <v>742</v>
      </c>
      <c r="J18" s="438">
        <v>7691.97</v>
      </c>
      <c r="K18" s="438" t="s">
        <v>879</v>
      </c>
      <c r="L18" s="348">
        <v>7691.97</v>
      </c>
      <c r="M18" s="93"/>
      <c r="N18" s="435" t="s">
        <v>740</v>
      </c>
    </row>
    <row r="19" spans="1:14" ht="16" customHeight="1" x14ac:dyDescent="0.35">
      <c r="A19" s="445" t="s">
        <v>1050</v>
      </c>
      <c r="B19" s="717"/>
      <c r="C19" s="333" t="s">
        <v>169</v>
      </c>
      <c r="D19" s="333" t="s">
        <v>981</v>
      </c>
      <c r="E19" s="92">
        <v>4</v>
      </c>
      <c r="F19" s="434">
        <v>4840</v>
      </c>
      <c r="G19" s="435" t="s">
        <v>741</v>
      </c>
      <c r="H19" s="436">
        <v>44312</v>
      </c>
      <c r="I19" s="437" t="s">
        <v>742</v>
      </c>
      <c r="J19" s="438">
        <v>784.08</v>
      </c>
      <c r="K19" s="438" t="s">
        <v>825</v>
      </c>
      <c r="L19" s="348">
        <v>784.08</v>
      </c>
      <c r="M19" s="93"/>
      <c r="N19" s="435" t="s">
        <v>740</v>
      </c>
    </row>
    <row r="20" spans="1:14" ht="33" customHeight="1" x14ac:dyDescent="0.35">
      <c r="A20" s="445" t="s">
        <v>1054</v>
      </c>
      <c r="B20" s="717"/>
      <c r="C20" s="333" t="s">
        <v>299</v>
      </c>
      <c r="D20" s="333" t="s">
        <v>981</v>
      </c>
      <c r="E20" s="92">
        <v>4</v>
      </c>
      <c r="F20" s="434">
        <v>2000</v>
      </c>
      <c r="G20" s="435">
        <v>210700231</v>
      </c>
      <c r="H20" s="436">
        <v>44391</v>
      </c>
      <c r="I20" s="437" t="s">
        <v>826</v>
      </c>
      <c r="J20" s="438">
        <v>1064.8</v>
      </c>
      <c r="K20" s="438" t="s">
        <v>913</v>
      </c>
      <c r="L20" s="348">
        <v>1064.8</v>
      </c>
      <c r="M20" s="93"/>
      <c r="N20" s="435" t="s">
        <v>740</v>
      </c>
    </row>
    <row r="21" spans="1:14" ht="24.75" customHeight="1" x14ac:dyDescent="0.35">
      <c r="A21" s="445" t="s">
        <v>1053</v>
      </c>
      <c r="B21" s="717"/>
      <c r="C21" s="333" t="s">
        <v>300</v>
      </c>
      <c r="D21" s="333" t="s">
        <v>981</v>
      </c>
      <c r="E21" s="92">
        <v>4</v>
      </c>
      <c r="F21" s="434">
        <v>1000</v>
      </c>
      <c r="G21" s="435">
        <v>109622</v>
      </c>
      <c r="H21" s="436" t="s">
        <v>743</v>
      </c>
      <c r="I21" s="437" t="s">
        <v>744</v>
      </c>
      <c r="J21" s="438">
        <v>2153.8000000000002</v>
      </c>
      <c r="K21" s="438" t="s">
        <v>745</v>
      </c>
      <c r="L21" s="348">
        <v>2153.8000000000002</v>
      </c>
      <c r="M21" s="93"/>
      <c r="N21" s="435" t="s">
        <v>740</v>
      </c>
    </row>
    <row r="22" spans="1:14" ht="30" customHeight="1" x14ac:dyDescent="0.35">
      <c r="A22" s="333" t="s">
        <v>301</v>
      </c>
      <c r="B22" s="717"/>
      <c r="C22" s="333" t="s">
        <v>301</v>
      </c>
      <c r="D22" s="333" t="s">
        <v>981</v>
      </c>
      <c r="E22" s="92">
        <v>4</v>
      </c>
      <c r="F22" s="434">
        <v>1000</v>
      </c>
      <c r="G22" s="435">
        <v>12099</v>
      </c>
      <c r="H22" s="436">
        <v>44396</v>
      </c>
      <c r="I22" s="437" t="s">
        <v>914</v>
      </c>
      <c r="J22" s="438">
        <v>2323.1999999999998</v>
      </c>
      <c r="K22" s="438" t="s">
        <v>915</v>
      </c>
      <c r="L22" s="348">
        <v>2323.1999999999998</v>
      </c>
      <c r="M22" s="93"/>
      <c r="N22" s="435" t="s">
        <v>740</v>
      </c>
    </row>
    <row r="23" spans="1:14" ht="25.5" customHeight="1" x14ac:dyDescent="0.35">
      <c r="A23" s="333" t="s">
        <v>302</v>
      </c>
      <c r="B23" s="717"/>
      <c r="C23" s="333" t="s">
        <v>302</v>
      </c>
      <c r="D23" s="333" t="s">
        <v>981</v>
      </c>
      <c r="E23" s="92">
        <v>10</v>
      </c>
      <c r="F23" s="434">
        <v>3000</v>
      </c>
      <c r="G23" s="435">
        <v>210700231</v>
      </c>
      <c r="H23" s="436">
        <v>44391</v>
      </c>
      <c r="I23" s="437" t="s">
        <v>826</v>
      </c>
      <c r="J23" s="438">
        <v>2117.5</v>
      </c>
      <c r="K23" s="438" t="s">
        <v>913</v>
      </c>
      <c r="L23" s="348">
        <v>2117.5</v>
      </c>
      <c r="M23" s="93"/>
      <c r="N23" s="435" t="s">
        <v>740</v>
      </c>
    </row>
    <row r="24" spans="1:14" ht="27" customHeight="1" x14ac:dyDescent="0.35">
      <c r="A24" s="333" t="s">
        <v>303</v>
      </c>
      <c r="B24" s="717"/>
      <c r="C24" s="333" t="s">
        <v>303</v>
      </c>
      <c r="D24" s="333" t="s">
        <v>981</v>
      </c>
      <c r="E24" s="92">
        <v>2</v>
      </c>
      <c r="F24" s="434">
        <v>3600</v>
      </c>
      <c r="G24" s="435">
        <v>21897</v>
      </c>
      <c r="H24" s="436">
        <v>44417</v>
      </c>
      <c r="I24" s="437" t="s">
        <v>661</v>
      </c>
      <c r="J24" s="438">
        <v>3509</v>
      </c>
      <c r="K24" s="438" t="s">
        <v>916</v>
      </c>
      <c r="L24" s="348">
        <v>3509</v>
      </c>
      <c r="M24" s="93"/>
      <c r="N24" s="435" t="s">
        <v>740</v>
      </c>
    </row>
    <row r="25" spans="1:14" ht="38.25" customHeight="1" x14ac:dyDescent="0.35">
      <c r="A25" s="333" t="s">
        <v>304</v>
      </c>
      <c r="B25" s="717"/>
      <c r="C25" s="333" t="s">
        <v>304</v>
      </c>
      <c r="D25" s="333" t="s">
        <v>981</v>
      </c>
      <c r="E25" s="92">
        <v>5</v>
      </c>
      <c r="F25" s="434">
        <v>750</v>
      </c>
      <c r="G25" s="435">
        <v>687192</v>
      </c>
      <c r="H25" s="436">
        <v>44263</v>
      </c>
      <c r="I25" s="437" t="s">
        <v>305</v>
      </c>
      <c r="J25" s="438">
        <v>750</v>
      </c>
      <c r="K25" s="438" t="s">
        <v>746</v>
      </c>
      <c r="L25" s="348">
        <v>750</v>
      </c>
      <c r="M25" s="93"/>
      <c r="N25" s="435" t="s">
        <v>740</v>
      </c>
    </row>
    <row r="26" spans="1:14" ht="51" customHeight="1" x14ac:dyDescent="0.35">
      <c r="A26" s="333" t="s">
        <v>47</v>
      </c>
      <c r="B26" s="717"/>
      <c r="C26" s="333" t="s">
        <v>47</v>
      </c>
      <c r="D26" s="333" t="s">
        <v>981</v>
      </c>
      <c r="E26" s="92">
        <v>6</v>
      </c>
      <c r="F26" s="434">
        <v>9300</v>
      </c>
      <c r="G26" s="435">
        <v>211179</v>
      </c>
      <c r="H26" s="436" t="s">
        <v>306</v>
      </c>
      <c r="I26" s="437" t="s">
        <v>307</v>
      </c>
      <c r="J26" s="438">
        <v>9241.98</v>
      </c>
      <c r="K26" s="438" t="s">
        <v>747</v>
      </c>
      <c r="L26" s="348">
        <v>9241.98</v>
      </c>
      <c r="M26" s="93"/>
      <c r="N26" s="435" t="s">
        <v>740</v>
      </c>
    </row>
    <row r="27" spans="1:14" ht="53.25" customHeight="1" x14ac:dyDescent="0.35">
      <c r="A27" s="333" t="s">
        <v>308</v>
      </c>
      <c r="B27" s="717"/>
      <c r="C27" s="333" t="s">
        <v>308</v>
      </c>
      <c r="D27" s="333" t="s">
        <v>981</v>
      </c>
      <c r="E27" s="92">
        <v>6</v>
      </c>
      <c r="F27" s="434">
        <v>7216.44</v>
      </c>
      <c r="G27" s="435">
        <v>211179</v>
      </c>
      <c r="H27" s="436" t="s">
        <v>306</v>
      </c>
      <c r="I27" s="437" t="s">
        <v>307</v>
      </c>
      <c r="J27" s="438">
        <v>7216.44</v>
      </c>
      <c r="K27" s="438" t="s">
        <v>747</v>
      </c>
      <c r="L27" s="348">
        <v>7216.44</v>
      </c>
      <c r="M27" s="93"/>
      <c r="N27" s="435" t="s">
        <v>740</v>
      </c>
    </row>
    <row r="28" spans="1:14" ht="33" customHeight="1" x14ac:dyDescent="0.35">
      <c r="A28" s="333" t="s">
        <v>309</v>
      </c>
      <c r="B28" s="717"/>
      <c r="C28" s="333" t="s">
        <v>309</v>
      </c>
      <c r="D28" s="333" t="s">
        <v>981</v>
      </c>
      <c r="E28" s="92">
        <v>4</v>
      </c>
      <c r="F28" s="434">
        <v>3539.25</v>
      </c>
      <c r="G28" s="435">
        <v>210122</v>
      </c>
      <c r="H28" s="436">
        <v>44405</v>
      </c>
      <c r="I28" s="437" t="s">
        <v>307</v>
      </c>
      <c r="J28" s="438">
        <v>3539.25</v>
      </c>
      <c r="K28" s="438" t="s">
        <v>917</v>
      </c>
      <c r="L28" s="348">
        <v>3539.25</v>
      </c>
      <c r="M28" s="93"/>
      <c r="N28" s="435" t="s">
        <v>740</v>
      </c>
    </row>
    <row r="29" spans="1:14" ht="36" customHeight="1" x14ac:dyDescent="0.35">
      <c r="A29" s="351" t="s">
        <v>311</v>
      </c>
      <c r="B29" s="706" t="s">
        <v>310</v>
      </c>
      <c r="C29" s="544" t="s">
        <v>311</v>
      </c>
      <c r="D29" s="351" t="s">
        <v>981</v>
      </c>
      <c r="E29" s="143">
        <v>65</v>
      </c>
      <c r="F29" s="545">
        <v>1300</v>
      </c>
      <c r="G29" s="140">
        <v>1785</v>
      </c>
      <c r="H29" s="546" t="s">
        <v>542</v>
      </c>
      <c r="I29" s="396" t="s">
        <v>323</v>
      </c>
      <c r="J29" s="547">
        <v>275.27</v>
      </c>
      <c r="K29" s="547" t="s">
        <v>544</v>
      </c>
      <c r="L29" s="390">
        <v>275.27</v>
      </c>
      <c r="M29" s="396"/>
      <c r="N29" s="548" t="s">
        <v>740</v>
      </c>
    </row>
    <row r="30" spans="1:14" ht="16" customHeight="1" x14ac:dyDescent="0.35">
      <c r="A30" s="386"/>
      <c r="B30" s="706"/>
      <c r="C30" s="385" t="s">
        <v>312</v>
      </c>
      <c r="D30" s="24" t="s">
        <v>981</v>
      </c>
      <c r="E30" s="107">
        <v>15</v>
      </c>
      <c r="F30" s="387">
        <v>47190</v>
      </c>
      <c r="G30" s="55"/>
      <c r="H30" s="388"/>
      <c r="I30" s="389"/>
      <c r="J30" s="389"/>
      <c r="K30" s="389"/>
      <c r="L30" s="389"/>
      <c r="M30" s="389"/>
      <c r="N30" s="394" t="s">
        <v>918</v>
      </c>
    </row>
    <row r="31" spans="1:14" ht="31" x14ac:dyDescent="0.35">
      <c r="A31" s="354" t="s">
        <v>1055</v>
      </c>
      <c r="B31" s="706"/>
      <c r="C31" s="379" t="s">
        <v>313</v>
      </c>
      <c r="D31" s="52" t="s">
        <v>981</v>
      </c>
      <c r="E31" s="355">
        <v>12</v>
      </c>
      <c r="F31" s="380">
        <v>1200</v>
      </c>
      <c r="G31" s="55">
        <v>3291</v>
      </c>
      <c r="H31" s="375" t="s">
        <v>314</v>
      </c>
      <c r="I31" s="376" t="s">
        <v>315</v>
      </c>
      <c r="J31" s="381">
        <v>659.64</v>
      </c>
      <c r="K31" s="381" t="s">
        <v>545</v>
      </c>
      <c r="L31" s="378">
        <v>659.64</v>
      </c>
      <c r="M31" s="381"/>
      <c r="N31" s="395" t="s">
        <v>740</v>
      </c>
    </row>
    <row r="32" spans="1:14" ht="46.5" x14ac:dyDescent="0.35">
      <c r="A32" s="386"/>
      <c r="B32" s="706"/>
      <c r="C32" s="385" t="s">
        <v>316</v>
      </c>
      <c r="D32" s="24" t="s">
        <v>981</v>
      </c>
      <c r="E32" s="107">
        <v>5</v>
      </c>
      <c r="F32" s="387">
        <v>47500</v>
      </c>
      <c r="G32" s="55"/>
      <c r="H32" s="388"/>
      <c r="I32" s="389"/>
      <c r="J32" s="389"/>
      <c r="K32" s="389"/>
      <c r="L32" s="389"/>
      <c r="M32" s="389"/>
      <c r="N32" s="394" t="s">
        <v>919</v>
      </c>
    </row>
    <row r="33" spans="1:14" ht="31" x14ac:dyDescent="0.35">
      <c r="A33" s="386"/>
      <c r="B33" s="706"/>
      <c r="C33" s="385" t="s">
        <v>317</v>
      </c>
      <c r="D33" s="24" t="s">
        <v>981</v>
      </c>
      <c r="E33" s="107">
        <v>5</v>
      </c>
      <c r="F33" s="387">
        <v>37500</v>
      </c>
      <c r="G33" s="55"/>
      <c r="H33" s="388"/>
      <c r="I33" s="389"/>
      <c r="J33" s="389"/>
      <c r="K33" s="389"/>
      <c r="L33" s="389"/>
      <c r="M33" s="389"/>
      <c r="N33" s="394" t="s">
        <v>912</v>
      </c>
    </row>
    <row r="34" spans="1:14" ht="26.25" customHeight="1" x14ac:dyDescent="0.35">
      <c r="A34" s="354" t="s">
        <v>318</v>
      </c>
      <c r="B34" s="706"/>
      <c r="C34" s="379" t="s">
        <v>318</v>
      </c>
      <c r="D34" s="52" t="s">
        <v>981</v>
      </c>
      <c r="E34" s="355">
        <v>5</v>
      </c>
      <c r="F34" s="380">
        <v>9000</v>
      </c>
      <c r="G34" s="55">
        <v>21885</v>
      </c>
      <c r="H34" s="424">
        <v>44412</v>
      </c>
      <c r="I34" s="376" t="s">
        <v>661</v>
      </c>
      <c r="J34" s="381">
        <v>6750</v>
      </c>
      <c r="K34" s="376" t="s">
        <v>916</v>
      </c>
      <c r="L34" s="443">
        <v>6750</v>
      </c>
      <c r="M34" s="378"/>
      <c r="N34" s="395" t="s">
        <v>740</v>
      </c>
    </row>
    <row r="35" spans="1:14" ht="31" x14ac:dyDescent="0.35">
      <c r="A35" s="354" t="s">
        <v>1056</v>
      </c>
      <c r="B35" s="706"/>
      <c r="C35" s="379" t="s">
        <v>304</v>
      </c>
      <c r="D35" s="52" t="s">
        <v>981</v>
      </c>
      <c r="E35" s="355">
        <v>72</v>
      </c>
      <c r="F35" s="380">
        <v>9750</v>
      </c>
      <c r="G35" s="55">
        <v>687192</v>
      </c>
      <c r="H35" s="424">
        <v>44263</v>
      </c>
      <c r="I35" s="376" t="s">
        <v>305</v>
      </c>
      <c r="J35" s="381">
        <v>7894.02</v>
      </c>
      <c r="K35" s="376" t="s">
        <v>746</v>
      </c>
      <c r="L35" s="443">
        <v>7894.02</v>
      </c>
      <c r="M35" s="376"/>
      <c r="N35" s="395" t="s">
        <v>740</v>
      </c>
    </row>
    <row r="36" spans="1:14" ht="31" x14ac:dyDescent="0.35">
      <c r="A36" s="354" t="s">
        <v>1057</v>
      </c>
      <c r="B36" s="706"/>
      <c r="C36" s="379" t="s">
        <v>319</v>
      </c>
      <c r="D36" s="52" t="s">
        <v>981</v>
      </c>
      <c r="E36" s="355">
        <v>60</v>
      </c>
      <c r="F36" s="380">
        <v>9000</v>
      </c>
      <c r="G36" s="55">
        <v>210500169</v>
      </c>
      <c r="H36" s="425">
        <v>44327</v>
      </c>
      <c r="I36" s="378" t="s">
        <v>826</v>
      </c>
      <c r="J36" s="381">
        <v>2293.4299999999998</v>
      </c>
      <c r="K36" s="376" t="s">
        <v>827</v>
      </c>
      <c r="L36" s="381">
        <v>2293.4299999999998</v>
      </c>
      <c r="M36" s="376"/>
      <c r="N36" s="395" t="s">
        <v>740</v>
      </c>
    </row>
    <row r="37" spans="1:14" ht="31" x14ac:dyDescent="0.35">
      <c r="A37" s="354" t="s">
        <v>189</v>
      </c>
      <c r="B37" s="706"/>
      <c r="C37" s="379" t="s">
        <v>297</v>
      </c>
      <c r="D37" s="52" t="s">
        <v>981</v>
      </c>
      <c r="E37" s="355">
        <v>5</v>
      </c>
      <c r="F37" s="380">
        <v>32500</v>
      </c>
      <c r="G37" s="55">
        <v>168</v>
      </c>
      <c r="H37" s="424">
        <v>44349</v>
      </c>
      <c r="I37" s="376" t="s">
        <v>881</v>
      </c>
      <c r="J37" s="381">
        <v>26016</v>
      </c>
      <c r="K37" s="376" t="s">
        <v>882</v>
      </c>
      <c r="L37" s="381">
        <v>26016</v>
      </c>
      <c r="M37" s="376"/>
      <c r="N37" s="395" t="s">
        <v>740</v>
      </c>
    </row>
    <row r="38" spans="1:14" ht="15.5" x14ac:dyDescent="0.35">
      <c r="A38" s="354" t="s">
        <v>1049</v>
      </c>
      <c r="B38" s="706"/>
      <c r="C38" s="379" t="s">
        <v>320</v>
      </c>
      <c r="D38" s="52" t="s">
        <v>981</v>
      </c>
      <c r="E38" s="355">
        <v>6</v>
      </c>
      <c r="F38" s="380">
        <v>1500</v>
      </c>
      <c r="G38" s="55">
        <v>411178</v>
      </c>
      <c r="H38" s="408" t="s">
        <v>546</v>
      </c>
      <c r="I38" s="378" t="s">
        <v>343</v>
      </c>
      <c r="J38" s="378">
        <v>1059.23</v>
      </c>
      <c r="K38" s="378" t="s">
        <v>828</v>
      </c>
      <c r="L38" s="378">
        <v>1059.23</v>
      </c>
      <c r="M38" s="378"/>
      <c r="N38" s="395" t="s">
        <v>740</v>
      </c>
    </row>
    <row r="39" spans="1:14" ht="28" x14ac:dyDescent="0.35">
      <c r="A39" s="354" t="s">
        <v>1051</v>
      </c>
      <c r="B39" s="706"/>
      <c r="C39" s="379" t="s">
        <v>321</v>
      </c>
      <c r="D39" s="52" t="s">
        <v>981</v>
      </c>
      <c r="E39" s="355">
        <v>54</v>
      </c>
      <c r="F39" s="380">
        <v>95394.78</v>
      </c>
      <c r="G39" s="55">
        <v>298539</v>
      </c>
      <c r="H39" s="408" t="s">
        <v>743</v>
      </c>
      <c r="I39" s="378" t="s">
        <v>330</v>
      </c>
      <c r="J39" s="438">
        <v>95394.78</v>
      </c>
      <c r="K39" s="378" t="s">
        <v>748</v>
      </c>
      <c r="L39" s="376">
        <v>95394.78</v>
      </c>
      <c r="M39" s="378"/>
      <c r="N39" s="395" t="s">
        <v>740</v>
      </c>
    </row>
    <row r="40" spans="1:14" ht="31" x14ac:dyDescent="0.35">
      <c r="A40" s="354" t="s">
        <v>1058</v>
      </c>
      <c r="B40" s="706"/>
      <c r="C40" s="379" t="s">
        <v>321</v>
      </c>
      <c r="D40" s="52" t="s">
        <v>981</v>
      </c>
      <c r="E40" s="355">
        <v>11</v>
      </c>
      <c r="F40" s="380">
        <v>80105.22</v>
      </c>
      <c r="G40" s="55">
        <v>110358</v>
      </c>
      <c r="H40" s="425">
        <v>44334</v>
      </c>
      <c r="I40" s="378" t="s">
        <v>744</v>
      </c>
      <c r="J40" s="443">
        <v>42778.34</v>
      </c>
      <c r="K40" s="378" t="s">
        <v>880</v>
      </c>
      <c r="L40" s="381">
        <v>42778.34</v>
      </c>
      <c r="M40" s="378"/>
      <c r="N40" s="395" t="s">
        <v>740</v>
      </c>
    </row>
    <row r="41" spans="1:14" ht="46.5" x14ac:dyDescent="0.35">
      <c r="A41" s="354" t="s">
        <v>83</v>
      </c>
      <c r="B41" s="706"/>
      <c r="C41" s="379" t="s">
        <v>322</v>
      </c>
      <c r="D41" s="52" t="s">
        <v>981</v>
      </c>
      <c r="E41" s="355">
        <v>130</v>
      </c>
      <c r="F41" s="380">
        <v>6500</v>
      </c>
      <c r="G41" s="55">
        <v>1785</v>
      </c>
      <c r="H41" s="424">
        <v>44263</v>
      </c>
      <c r="I41" s="376" t="s">
        <v>323</v>
      </c>
      <c r="J41" s="381">
        <v>3539.25</v>
      </c>
      <c r="K41" s="381" t="s">
        <v>544</v>
      </c>
      <c r="L41" s="443">
        <v>3539.25</v>
      </c>
      <c r="M41" s="378"/>
      <c r="N41" s="395" t="s">
        <v>740</v>
      </c>
    </row>
    <row r="42" spans="1:14" ht="15.5" x14ac:dyDescent="0.35">
      <c r="A42" s="354" t="s">
        <v>324</v>
      </c>
      <c r="B42" s="706"/>
      <c r="C42" s="379" t="s">
        <v>324</v>
      </c>
      <c r="D42" s="52" t="s">
        <v>981</v>
      </c>
      <c r="E42" s="355">
        <v>30</v>
      </c>
      <c r="F42" s="380">
        <v>1500</v>
      </c>
      <c r="G42" s="55">
        <v>216</v>
      </c>
      <c r="H42" s="424">
        <v>44274</v>
      </c>
      <c r="I42" s="376" t="s">
        <v>548</v>
      </c>
      <c r="J42" s="381">
        <v>1923.9</v>
      </c>
      <c r="K42" s="381" t="s">
        <v>829</v>
      </c>
      <c r="L42" s="381">
        <v>1923.9</v>
      </c>
      <c r="M42" s="381"/>
      <c r="N42" s="395" t="s">
        <v>740</v>
      </c>
    </row>
    <row r="43" spans="1:14" ht="15.5" x14ac:dyDescent="0.35">
      <c r="A43" s="354" t="s">
        <v>325</v>
      </c>
      <c r="B43" s="706"/>
      <c r="C43" s="379" t="s">
        <v>325</v>
      </c>
      <c r="D43" s="52" t="s">
        <v>981</v>
      </c>
      <c r="E43" s="355">
        <v>2</v>
      </c>
      <c r="F43" s="380">
        <v>2400</v>
      </c>
      <c r="G43" s="55">
        <v>21897</v>
      </c>
      <c r="H43" s="424">
        <v>44417</v>
      </c>
      <c r="I43" s="376" t="s">
        <v>661</v>
      </c>
      <c r="J43" s="381">
        <v>3509</v>
      </c>
      <c r="K43" s="376" t="s">
        <v>916</v>
      </c>
      <c r="L43" s="443">
        <v>3509</v>
      </c>
      <c r="M43" s="376"/>
      <c r="N43" s="395" t="s">
        <v>740</v>
      </c>
    </row>
    <row r="44" spans="1:14" ht="15.5" x14ac:dyDescent="0.35">
      <c r="A44" s="354" t="s">
        <v>303</v>
      </c>
      <c r="B44" s="706"/>
      <c r="C44" s="379" t="s">
        <v>303</v>
      </c>
      <c r="D44" s="52" t="s">
        <v>981</v>
      </c>
      <c r="E44" s="355">
        <v>2</v>
      </c>
      <c r="F44" s="380">
        <v>3600</v>
      </c>
      <c r="G44" s="55">
        <v>21897</v>
      </c>
      <c r="H44" s="424">
        <v>44417</v>
      </c>
      <c r="I44" s="376" t="s">
        <v>661</v>
      </c>
      <c r="J44" s="381">
        <v>3509</v>
      </c>
      <c r="K44" s="376" t="s">
        <v>916</v>
      </c>
      <c r="L44" s="443">
        <v>3509</v>
      </c>
      <c r="M44" s="376"/>
      <c r="N44" s="395" t="s">
        <v>740</v>
      </c>
    </row>
    <row r="45" spans="1:14" ht="15.5" x14ac:dyDescent="0.35">
      <c r="A45" s="354" t="s">
        <v>1059</v>
      </c>
      <c r="B45" s="706"/>
      <c r="C45" s="379" t="s">
        <v>326</v>
      </c>
      <c r="D45" s="52" t="s">
        <v>981</v>
      </c>
      <c r="E45" s="355">
        <v>10</v>
      </c>
      <c r="F45" s="380">
        <v>4500</v>
      </c>
      <c r="G45" s="55">
        <v>12099</v>
      </c>
      <c r="H45" s="424">
        <v>44396</v>
      </c>
      <c r="I45" s="376" t="s">
        <v>914</v>
      </c>
      <c r="J45" s="381">
        <v>7005.9</v>
      </c>
      <c r="K45" s="376" t="s">
        <v>915</v>
      </c>
      <c r="L45" s="443">
        <v>7005.9</v>
      </c>
      <c r="M45" s="378"/>
      <c r="N45" s="395" t="s">
        <v>740</v>
      </c>
    </row>
    <row r="46" spans="1:14" ht="31" x14ac:dyDescent="0.35">
      <c r="A46" s="386"/>
      <c r="B46" s="706"/>
      <c r="C46" s="385" t="s">
        <v>327</v>
      </c>
      <c r="D46" s="24" t="s">
        <v>981</v>
      </c>
      <c r="E46" s="107">
        <v>15</v>
      </c>
      <c r="F46" s="387">
        <v>135242.79999999999</v>
      </c>
      <c r="G46" s="55"/>
      <c r="H46" s="388"/>
      <c r="I46" s="389"/>
      <c r="J46" s="389"/>
      <c r="K46" s="389"/>
      <c r="L46" s="241"/>
      <c r="M46" s="241"/>
      <c r="N46" s="394" t="s">
        <v>911</v>
      </c>
    </row>
    <row r="47" spans="1:14" ht="31" x14ac:dyDescent="0.35">
      <c r="A47" s="354" t="s">
        <v>1048</v>
      </c>
      <c r="B47" s="706"/>
      <c r="C47" s="379" t="s">
        <v>327</v>
      </c>
      <c r="D47" s="52" t="s">
        <v>981</v>
      </c>
      <c r="E47" s="355">
        <v>40</v>
      </c>
      <c r="F47" s="380">
        <v>57257.2</v>
      </c>
      <c r="G47" s="55">
        <v>210464</v>
      </c>
      <c r="H47" s="375" t="s">
        <v>494</v>
      </c>
      <c r="I47" s="376" t="s">
        <v>549</v>
      </c>
      <c r="J47" s="438">
        <v>57257.2</v>
      </c>
      <c r="K47" s="376" t="s">
        <v>749</v>
      </c>
      <c r="L47" s="376">
        <v>57257.2</v>
      </c>
      <c r="M47" s="376"/>
      <c r="N47" s="395" t="s">
        <v>740</v>
      </c>
    </row>
    <row r="48" spans="1:14" ht="31" x14ac:dyDescent="0.35">
      <c r="A48" s="354" t="s">
        <v>571</v>
      </c>
      <c r="B48" s="706"/>
      <c r="C48" s="382" t="s">
        <v>328</v>
      </c>
      <c r="D48" s="52" t="s">
        <v>981</v>
      </c>
      <c r="E48" s="355">
        <v>1</v>
      </c>
      <c r="F48" s="380">
        <v>1210</v>
      </c>
      <c r="G48" s="55">
        <v>292535</v>
      </c>
      <c r="H48" s="375" t="s">
        <v>329</v>
      </c>
      <c r="I48" s="376" t="s">
        <v>330</v>
      </c>
      <c r="J48" s="438">
        <f>F48</f>
        <v>1210</v>
      </c>
      <c r="K48" s="376" t="s">
        <v>331</v>
      </c>
      <c r="L48" s="376">
        <v>1210</v>
      </c>
      <c r="M48" s="376"/>
      <c r="N48" s="395" t="s">
        <v>740</v>
      </c>
    </row>
    <row r="49" spans="1:14" ht="14.25" customHeight="1" x14ac:dyDescent="0.35">
      <c r="A49" s="354" t="s">
        <v>571</v>
      </c>
      <c r="B49" s="706"/>
      <c r="C49" s="382" t="s">
        <v>328</v>
      </c>
      <c r="D49" s="52" t="s">
        <v>981</v>
      </c>
      <c r="E49" s="355">
        <v>4</v>
      </c>
      <c r="F49" s="380">
        <v>23790</v>
      </c>
      <c r="G49" s="55">
        <v>292535</v>
      </c>
      <c r="H49" s="375" t="s">
        <v>329</v>
      </c>
      <c r="I49" s="376" t="s">
        <v>330</v>
      </c>
      <c r="J49" s="438">
        <v>7744</v>
      </c>
      <c r="K49" s="377" t="s">
        <v>331</v>
      </c>
      <c r="L49" s="376">
        <v>7744</v>
      </c>
      <c r="M49" s="376"/>
      <c r="N49" s="395" t="s">
        <v>740</v>
      </c>
    </row>
    <row r="50" spans="1:14" ht="31" x14ac:dyDescent="0.35">
      <c r="A50" s="354" t="s">
        <v>1052</v>
      </c>
      <c r="B50" s="706"/>
      <c r="C50" s="379" t="s">
        <v>332</v>
      </c>
      <c r="D50" s="52" t="s">
        <v>981</v>
      </c>
      <c r="E50" s="355">
        <v>6</v>
      </c>
      <c r="F50" s="380">
        <v>15000</v>
      </c>
      <c r="G50" s="55">
        <v>298539</v>
      </c>
      <c r="H50" s="408" t="s">
        <v>743</v>
      </c>
      <c r="I50" s="378" t="s">
        <v>330</v>
      </c>
      <c r="J50" s="438">
        <v>9830.0400000000009</v>
      </c>
      <c r="K50" s="378" t="s">
        <v>748</v>
      </c>
      <c r="L50" s="376">
        <v>9830.0400000000009</v>
      </c>
      <c r="M50" s="378"/>
      <c r="N50" s="395" t="s">
        <v>740</v>
      </c>
    </row>
    <row r="51" spans="1:14" ht="15.5" x14ac:dyDescent="0.35">
      <c r="A51" s="354" t="s">
        <v>1060</v>
      </c>
      <c r="B51" s="706"/>
      <c r="C51" s="379" t="s">
        <v>333</v>
      </c>
      <c r="D51" s="52" t="s">
        <v>981</v>
      </c>
      <c r="E51" s="355">
        <v>6</v>
      </c>
      <c r="F51" s="380">
        <v>2700</v>
      </c>
      <c r="G51" s="55">
        <v>80477</v>
      </c>
      <c r="H51" s="408" t="s">
        <v>750</v>
      </c>
      <c r="I51" s="376" t="s">
        <v>751</v>
      </c>
      <c r="J51" s="438">
        <v>1829.52</v>
      </c>
      <c r="K51" s="376" t="s">
        <v>830</v>
      </c>
      <c r="L51" s="378">
        <v>1829.52</v>
      </c>
      <c r="M51" s="376"/>
      <c r="N51" s="395" t="s">
        <v>740</v>
      </c>
    </row>
    <row r="52" spans="1:14" ht="31" x14ac:dyDescent="0.35">
      <c r="A52" s="386"/>
      <c r="B52" s="706"/>
      <c r="C52" s="385" t="s">
        <v>334</v>
      </c>
      <c r="D52" s="24" t="s">
        <v>981</v>
      </c>
      <c r="E52" s="107">
        <v>40</v>
      </c>
      <c r="F52" s="387">
        <v>32000</v>
      </c>
      <c r="G52" s="23"/>
      <c r="H52" s="388"/>
      <c r="I52" s="389"/>
      <c r="J52" s="442"/>
      <c r="K52" s="389"/>
      <c r="L52" s="389"/>
      <c r="M52" s="389"/>
      <c r="N52" s="394" t="s">
        <v>912</v>
      </c>
    </row>
    <row r="53" spans="1:14" ht="31" x14ac:dyDescent="0.35">
      <c r="A53" s="386"/>
      <c r="B53" s="706"/>
      <c r="C53" s="385" t="s">
        <v>150</v>
      </c>
      <c r="D53" s="24" t="s">
        <v>981</v>
      </c>
      <c r="E53" s="107">
        <v>75</v>
      </c>
      <c r="F53" s="387">
        <v>90000</v>
      </c>
      <c r="G53" s="23"/>
      <c r="H53" s="388"/>
      <c r="I53" s="389"/>
      <c r="J53" s="442"/>
      <c r="K53" s="389"/>
      <c r="L53" s="389"/>
      <c r="M53" s="389"/>
      <c r="N53" s="394" t="s">
        <v>912</v>
      </c>
    </row>
    <row r="54" spans="1:14" ht="27" customHeight="1" x14ac:dyDescent="0.35">
      <c r="A54" s="354" t="s">
        <v>1065</v>
      </c>
      <c r="B54" s="706"/>
      <c r="C54" s="379" t="s">
        <v>335</v>
      </c>
      <c r="D54" s="52" t="s">
        <v>981</v>
      </c>
      <c r="E54" s="355">
        <v>5</v>
      </c>
      <c r="F54" s="380">
        <v>2500</v>
      </c>
      <c r="G54" s="55">
        <v>210700231</v>
      </c>
      <c r="H54" s="424">
        <v>44391</v>
      </c>
      <c r="I54" s="376" t="s">
        <v>826</v>
      </c>
      <c r="J54" s="438">
        <v>1331</v>
      </c>
      <c r="K54" s="376" t="s">
        <v>913</v>
      </c>
      <c r="L54" s="443">
        <v>1331</v>
      </c>
      <c r="M54" s="376"/>
      <c r="N54" s="395" t="s">
        <v>740</v>
      </c>
    </row>
    <row r="55" spans="1:14" ht="27.75" customHeight="1" x14ac:dyDescent="0.35">
      <c r="A55" s="354" t="s">
        <v>1050</v>
      </c>
      <c r="B55" s="706"/>
      <c r="C55" s="379" t="s">
        <v>169</v>
      </c>
      <c r="D55" s="52" t="s">
        <v>981</v>
      </c>
      <c r="E55" s="355">
        <v>25</v>
      </c>
      <c r="F55" s="380">
        <v>30250</v>
      </c>
      <c r="G55" s="55" t="s">
        <v>741</v>
      </c>
      <c r="H55" s="424">
        <v>44312</v>
      </c>
      <c r="I55" s="376" t="s">
        <v>742</v>
      </c>
      <c r="J55" s="438">
        <v>4900.5</v>
      </c>
      <c r="K55" s="376" t="s">
        <v>825</v>
      </c>
      <c r="L55" s="443">
        <v>4900.5</v>
      </c>
      <c r="M55" s="376"/>
      <c r="N55" s="395" t="s">
        <v>740</v>
      </c>
    </row>
    <row r="56" spans="1:14" ht="27.75" customHeight="1" x14ac:dyDescent="0.35">
      <c r="A56" s="379" t="s">
        <v>336</v>
      </c>
      <c r="B56" s="706"/>
      <c r="C56" s="379" t="s">
        <v>336</v>
      </c>
      <c r="D56" s="52" t="s">
        <v>981</v>
      </c>
      <c r="E56" s="355">
        <v>15</v>
      </c>
      <c r="F56" s="380">
        <v>6000</v>
      </c>
      <c r="G56" s="55">
        <v>210700231</v>
      </c>
      <c r="H56" s="424">
        <v>44391</v>
      </c>
      <c r="I56" s="376" t="s">
        <v>826</v>
      </c>
      <c r="J56" s="438">
        <v>11616</v>
      </c>
      <c r="K56" s="378" t="s">
        <v>913</v>
      </c>
      <c r="L56" s="443">
        <v>11616</v>
      </c>
      <c r="M56" s="378"/>
      <c r="N56" s="395" t="s">
        <v>740</v>
      </c>
    </row>
    <row r="57" spans="1:14" ht="15.5" x14ac:dyDescent="0.35">
      <c r="A57" s="354" t="s">
        <v>1045</v>
      </c>
      <c r="B57" s="706"/>
      <c r="C57" s="379" t="s">
        <v>337</v>
      </c>
      <c r="D57" s="52" t="s">
        <v>981</v>
      </c>
      <c r="E57" s="355">
        <v>65</v>
      </c>
      <c r="F57" s="380">
        <v>1950</v>
      </c>
      <c r="G57" s="55">
        <v>1785</v>
      </c>
      <c r="H57" s="424">
        <v>44263</v>
      </c>
      <c r="I57" s="376" t="s">
        <v>323</v>
      </c>
      <c r="J57" s="438">
        <v>904.48</v>
      </c>
      <c r="K57" s="381" t="s">
        <v>544</v>
      </c>
      <c r="L57" s="443">
        <v>904.48</v>
      </c>
      <c r="M57" s="376"/>
      <c r="N57" s="395" t="s">
        <v>740</v>
      </c>
    </row>
    <row r="58" spans="1:14" ht="31" x14ac:dyDescent="0.35">
      <c r="A58" s="445" t="s">
        <v>1053</v>
      </c>
      <c r="B58" s="706"/>
      <c r="C58" s="379" t="s">
        <v>338</v>
      </c>
      <c r="D58" s="52" t="s">
        <v>981</v>
      </c>
      <c r="E58" s="355">
        <v>65</v>
      </c>
      <c r="F58" s="380">
        <v>16250</v>
      </c>
      <c r="G58" s="55">
        <v>109622</v>
      </c>
      <c r="H58" s="408" t="s">
        <v>743</v>
      </c>
      <c r="I58" s="378" t="s">
        <v>744</v>
      </c>
      <c r="J58" s="438">
        <v>34999.25</v>
      </c>
      <c r="K58" s="376" t="s">
        <v>745</v>
      </c>
      <c r="L58" s="376">
        <v>34999.25</v>
      </c>
      <c r="M58" s="376"/>
      <c r="N58" s="395" t="s">
        <v>740</v>
      </c>
    </row>
    <row r="59" spans="1:14" ht="15.5" x14ac:dyDescent="0.35">
      <c r="A59" s="354" t="s">
        <v>339</v>
      </c>
      <c r="B59" s="706"/>
      <c r="C59" s="379" t="s">
        <v>339</v>
      </c>
      <c r="D59" s="52" t="s">
        <v>981</v>
      </c>
      <c r="E59" s="355">
        <v>65</v>
      </c>
      <c r="F59" s="383">
        <v>650</v>
      </c>
      <c r="G59" s="55">
        <v>1785</v>
      </c>
      <c r="H59" s="424">
        <v>44263</v>
      </c>
      <c r="I59" s="376" t="s">
        <v>323</v>
      </c>
      <c r="J59" s="438">
        <v>306.8</v>
      </c>
      <c r="K59" s="376" t="s">
        <v>544</v>
      </c>
      <c r="L59" s="443">
        <v>306.8</v>
      </c>
      <c r="M59" s="376"/>
      <c r="N59" s="395" t="s">
        <v>740</v>
      </c>
    </row>
    <row r="60" spans="1:14" ht="28" x14ac:dyDescent="0.35">
      <c r="A60" s="354" t="s">
        <v>1063</v>
      </c>
      <c r="B60" s="706"/>
      <c r="C60" s="379" t="s">
        <v>340</v>
      </c>
      <c r="D60" s="52" t="s">
        <v>981</v>
      </c>
      <c r="E60" s="355">
        <v>9</v>
      </c>
      <c r="F60" s="380">
        <v>1800</v>
      </c>
      <c r="G60" s="55">
        <v>3409</v>
      </c>
      <c r="H60" s="424">
        <v>44356</v>
      </c>
      <c r="I60" s="376" t="s">
        <v>315</v>
      </c>
      <c r="J60" s="438">
        <v>1058.4000000000001</v>
      </c>
      <c r="K60" s="376" t="s">
        <v>883</v>
      </c>
      <c r="L60" s="381">
        <v>1058.4000000000001</v>
      </c>
      <c r="M60" s="376"/>
      <c r="N60" s="395" t="s">
        <v>740</v>
      </c>
    </row>
    <row r="61" spans="1:14" ht="31" x14ac:dyDescent="0.35">
      <c r="A61" s="354" t="s">
        <v>570</v>
      </c>
      <c r="B61" s="706"/>
      <c r="C61" s="379" t="s">
        <v>298</v>
      </c>
      <c r="D61" s="52" t="s">
        <v>981</v>
      </c>
      <c r="E61" s="355">
        <v>15</v>
      </c>
      <c r="F61" s="380">
        <v>12000</v>
      </c>
      <c r="G61" s="55">
        <v>21480</v>
      </c>
      <c r="H61" s="424">
        <v>44349</v>
      </c>
      <c r="I61" s="376" t="s">
        <v>742</v>
      </c>
      <c r="J61" s="438">
        <v>8875.35</v>
      </c>
      <c r="K61" s="376" t="s">
        <v>879</v>
      </c>
      <c r="L61" s="381">
        <v>8875.35</v>
      </c>
      <c r="M61" s="376"/>
      <c r="N61" s="395" t="s">
        <v>740</v>
      </c>
    </row>
    <row r="62" spans="1:14" ht="16" thickBot="1" x14ac:dyDescent="0.4">
      <c r="A62" s="354" t="s">
        <v>570</v>
      </c>
      <c r="B62" s="706"/>
      <c r="C62" s="382" t="s">
        <v>292</v>
      </c>
      <c r="D62" s="353" t="s">
        <v>981</v>
      </c>
      <c r="E62" s="142">
        <v>10</v>
      </c>
      <c r="F62" s="404">
        <v>6500</v>
      </c>
      <c r="G62" s="139">
        <v>21480</v>
      </c>
      <c r="H62" s="426">
        <v>44349</v>
      </c>
      <c r="I62" s="405" t="s">
        <v>742</v>
      </c>
      <c r="J62" s="438">
        <v>1996.5</v>
      </c>
      <c r="K62" s="405" t="s">
        <v>879</v>
      </c>
      <c r="L62" s="444">
        <v>1996.5</v>
      </c>
      <c r="M62" s="405"/>
      <c r="N62" s="406" t="s">
        <v>740</v>
      </c>
    </row>
    <row r="63" spans="1:14" ht="28" x14ac:dyDescent="0.35">
      <c r="A63" s="354" t="s">
        <v>1044</v>
      </c>
      <c r="B63" s="707" t="s">
        <v>344</v>
      </c>
      <c r="C63" s="391" t="s">
        <v>341</v>
      </c>
      <c r="D63" s="391" t="s">
        <v>981</v>
      </c>
      <c r="E63" s="374">
        <v>3</v>
      </c>
      <c r="F63" s="417">
        <v>750</v>
      </c>
      <c r="G63" s="402">
        <v>410936</v>
      </c>
      <c r="H63" s="427" t="s">
        <v>342</v>
      </c>
      <c r="I63" s="400" t="s">
        <v>343</v>
      </c>
      <c r="J63" s="438">
        <v>342.39</v>
      </c>
      <c r="K63" s="392" t="s">
        <v>547</v>
      </c>
      <c r="L63" s="400">
        <v>342.39</v>
      </c>
      <c r="M63" s="392"/>
      <c r="N63" s="393" t="s">
        <v>740</v>
      </c>
    </row>
    <row r="64" spans="1:14" ht="56" x14ac:dyDescent="0.35">
      <c r="A64" s="354" t="s">
        <v>1062</v>
      </c>
      <c r="B64" s="708"/>
      <c r="C64" s="52" t="s">
        <v>345</v>
      </c>
      <c r="D64" s="52" t="s">
        <v>981</v>
      </c>
      <c r="E64" s="355">
        <v>1</v>
      </c>
      <c r="F64" s="344">
        <v>484</v>
      </c>
      <c r="G64" s="407" t="s">
        <v>831</v>
      </c>
      <c r="H64" s="424">
        <v>44309</v>
      </c>
      <c r="I64" s="376" t="s">
        <v>832</v>
      </c>
      <c r="J64" s="438">
        <v>484</v>
      </c>
      <c r="K64" s="376" t="s">
        <v>833</v>
      </c>
      <c r="L64" s="443">
        <v>484</v>
      </c>
      <c r="M64" s="376"/>
      <c r="N64" s="395" t="s">
        <v>740</v>
      </c>
    </row>
    <row r="65" spans="1:14" ht="46.5" x14ac:dyDescent="0.35">
      <c r="A65" s="386"/>
      <c r="B65" s="708"/>
      <c r="C65" s="24" t="s">
        <v>345</v>
      </c>
      <c r="D65" s="24" t="s">
        <v>981</v>
      </c>
      <c r="E65" s="107">
        <v>1</v>
      </c>
      <c r="F65" s="154">
        <v>125516</v>
      </c>
      <c r="G65" s="388"/>
      <c r="H65" s="388"/>
      <c r="I65" s="389"/>
      <c r="J65" s="442"/>
      <c r="K65" s="389"/>
      <c r="L65" s="389"/>
      <c r="M65" s="389"/>
      <c r="N65" s="394" t="s">
        <v>834</v>
      </c>
    </row>
    <row r="66" spans="1:14" ht="28" x14ac:dyDescent="0.35">
      <c r="A66" s="354" t="s">
        <v>1051</v>
      </c>
      <c r="B66" s="708"/>
      <c r="C66" s="52" t="s">
        <v>346</v>
      </c>
      <c r="D66" s="52" t="s">
        <v>981</v>
      </c>
      <c r="E66" s="355">
        <v>4</v>
      </c>
      <c r="F66" s="344">
        <v>10800</v>
      </c>
      <c r="G66" s="408">
        <v>298539</v>
      </c>
      <c r="H66" s="408" t="s">
        <v>743</v>
      </c>
      <c r="I66" s="378" t="s">
        <v>330</v>
      </c>
      <c r="J66" s="438">
        <v>7066.28</v>
      </c>
      <c r="K66" s="378" t="s">
        <v>748</v>
      </c>
      <c r="L66" s="376">
        <v>7066.28</v>
      </c>
      <c r="M66" s="378"/>
      <c r="N66" s="395" t="s">
        <v>740</v>
      </c>
    </row>
    <row r="67" spans="1:14" ht="31" x14ac:dyDescent="0.35">
      <c r="A67" s="445" t="s">
        <v>1053</v>
      </c>
      <c r="B67" s="708"/>
      <c r="C67" s="52" t="s">
        <v>338</v>
      </c>
      <c r="D67" s="52" t="s">
        <v>981</v>
      </c>
      <c r="E67" s="355">
        <v>4</v>
      </c>
      <c r="F67" s="344">
        <v>1000</v>
      </c>
      <c r="G67" s="408">
        <v>109622</v>
      </c>
      <c r="H67" s="408" t="s">
        <v>743</v>
      </c>
      <c r="I67" s="378" t="s">
        <v>744</v>
      </c>
      <c r="J67" s="438">
        <v>2153.8000000000002</v>
      </c>
      <c r="K67" s="376" t="s">
        <v>745</v>
      </c>
      <c r="L67" s="376">
        <v>2153.8000000000002</v>
      </c>
      <c r="M67" s="376"/>
      <c r="N67" s="395" t="s">
        <v>740</v>
      </c>
    </row>
    <row r="68" spans="1:14" ht="15.5" x14ac:dyDescent="0.35">
      <c r="A68" s="386"/>
      <c r="B68" s="708"/>
      <c r="C68" s="332" t="s">
        <v>312</v>
      </c>
      <c r="D68" s="332" t="s">
        <v>981</v>
      </c>
      <c r="E68" s="384">
        <v>2</v>
      </c>
      <c r="F68" s="349">
        <v>6292</v>
      </c>
      <c r="G68" s="409"/>
      <c r="H68" s="409"/>
      <c r="I68" s="401"/>
      <c r="J68" s="401"/>
      <c r="K68" s="401"/>
      <c r="L68" s="401"/>
      <c r="M68" s="401"/>
      <c r="N68" s="403" t="s">
        <v>920</v>
      </c>
    </row>
    <row r="69" spans="1:14" ht="31" x14ac:dyDescent="0.35">
      <c r="A69" s="386"/>
      <c r="B69" s="708"/>
      <c r="C69" s="24" t="s">
        <v>347</v>
      </c>
      <c r="D69" s="24" t="s">
        <v>981</v>
      </c>
      <c r="E69" s="107">
        <v>4</v>
      </c>
      <c r="F69" s="373">
        <v>400</v>
      </c>
      <c r="G69" s="388"/>
      <c r="H69" s="388"/>
      <c r="I69" s="389"/>
      <c r="J69" s="389"/>
      <c r="K69" s="389"/>
      <c r="L69" s="389"/>
      <c r="M69" s="389"/>
      <c r="N69" s="394" t="s">
        <v>919</v>
      </c>
    </row>
    <row r="70" spans="1:14" ht="31" x14ac:dyDescent="0.35">
      <c r="A70" s="386"/>
      <c r="B70" s="708"/>
      <c r="C70" s="24" t="s">
        <v>327</v>
      </c>
      <c r="D70" s="24" t="s">
        <v>981</v>
      </c>
      <c r="E70" s="107">
        <v>4</v>
      </c>
      <c r="F70" s="154">
        <v>14000</v>
      </c>
      <c r="G70" s="388"/>
      <c r="H70" s="388"/>
      <c r="I70" s="389"/>
      <c r="J70" s="389"/>
      <c r="K70" s="389"/>
      <c r="L70" s="389"/>
      <c r="M70" s="389"/>
      <c r="N70" s="394" t="s">
        <v>911</v>
      </c>
    </row>
    <row r="71" spans="1:14" ht="31.5" thickBot="1" x14ac:dyDescent="0.4">
      <c r="A71" s="386"/>
      <c r="B71" s="709"/>
      <c r="C71" s="418" t="s">
        <v>348</v>
      </c>
      <c r="D71" s="418" t="s">
        <v>981</v>
      </c>
      <c r="E71" s="419">
        <v>1</v>
      </c>
      <c r="F71" s="420">
        <v>2000</v>
      </c>
      <c r="G71" s="421"/>
      <c r="H71" s="421"/>
      <c r="I71" s="422"/>
      <c r="J71" s="422"/>
      <c r="K71" s="422"/>
      <c r="L71" s="422"/>
      <c r="M71" s="422"/>
      <c r="N71" s="423" t="s">
        <v>958</v>
      </c>
    </row>
    <row r="72" spans="1:14" ht="28.5" thickBot="1" x14ac:dyDescent="0.4">
      <c r="A72" s="354" t="s">
        <v>349</v>
      </c>
      <c r="B72" s="352"/>
      <c r="C72" s="410" t="s">
        <v>349</v>
      </c>
      <c r="D72" s="411" t="s">
        <v>981</v>
      </c>
      <c r="E72" s="412">
        <v>1</v>
      </c>
      <c r="F72" s="413">
        <v>25000</v>
      </c>
      <c r="G72" s="414">
        <v>210135</v>
      </c>
      <c r="H72" s="428" t="s">
        <v>550</v>
      </c>
      <c r="I72" s="415" t="s">
        <v>551</v>
      </c>
      <c r="J72" s="415">
        <v>21386.75</v>
      </c>
      <c r="K72" s="415" t="s">
        <v>835</v>
      </c>
      <c r="L72" s="415">
        <v>21386.75</v>
      </c>
      <c r="M72" s="415"/>
      <c r="N72" s="416" t="s">
        <v>740</v>
      </c>
    </row>
    <row r="73" spans="1:14" x14ac:dyDescent="0.35">
      <c r="F73" s="33"/>
      <c r="G73" s="33"/>
      <c r="J73" s="33"/>
      <c r="K73" s="33"/>
      <c r="M73" s="33"/>
    </row>
    <row r="74" spans="1:14" x14ac:dyDescent="0.35">
      <c r="B74" s="35"/>
      <c r="G74" s="11"/>
    </row>
    <row r="75" spans="1:14" x14ac:dyDescent="0.35">
      <c r="B75" s="35"/>
      <c r="C75" s="35"/>
      <c r="D75" s="35"/>
      <c r="G75" s="11"/>
    </row>
  </sheetData>
  <autoFilter ref="A8:N72" xr:uid="{59177FAC-F08E-46F5-8DFC-B07D63660DDF}"/>
  <mergeCells count="17">
    <mergeCell ref="B3:F3"/>
    <mergeCell ref="B5:N5"/>
    <mergeCell ref="G6:N6"/>
    <mergeCell ref="B7:B8"/>
    <mergeCell ref="C7:C8"/>
    <mergeCell ref="E7:E8"/>
    <mergeCell ref="F7:F8"/>
    <mergeCell ref="G7:J7"/>
    <mergeCell ref="A6:F6"/>
    <mergeCell ref="K7:M7"/>
    <mergeCell ref="A7:A8"/>
    <mergeCell ref="D7:D8"/>
    <mergeCell ref="N7:N8"/>
    <mergeCell ref="B29:B62"/>
    <mergeCell ref="B63:B71"/>
    <mergeCell ref="A9:B9"/>
    <mergeCell ref="B10:B28"/>
  </mergeCells>
  <pageMargins left="0.7" right="0.7" top="0.75" bottom="0.75" header="0.3" footer="0.3"/>
  <pageSetup paperSize="9" scale="33"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A909-E8EE-4540-BBE3-4DA35407F26F}">
  <sheetPr>
    <tabColor rgb="FF00B0F0"/>
  </sheetPr>
  <dimension ref="A1:N37"/>
  <sheetViews>
    <sheetView view="pageBreakPreview" zoomScale="60" zoomScaleNormal="90" workbookViewId="0">
      <selection activeCell="O1" sqref="O1:X1048576"/>
    </sheetView>
  </sheetViews>
  <sheetFormatPr defaultColWidth="9.1796875" defaultRowHeight="14" x14ac:dyDescent="0.35"/>
  <cols>
    <col min="1" max="1" width="21.453125" style="11" customWidth="1"/>
    <col min="2" max="2" width="12.7265625" style="11" customWidth="1"/>
    <col min="3" max="3" width="44" style="11" customWidth="1"/>
    <col min="4" max="4" width="23.81640625" style="11" customWidth="1"/>
    <col min="5" max="5" width="8.453125" style="11" customWidth="1"/>
    <col min="6" max="6" width="16.81640625" style="11" customWidth="1"/>
    <col min="7" max="7" width="15.7265625" style="11" customWidth="1"/>
    <col min="8" max="8" width="14.1796875" style="11" customWidth="1"/>
    <col min="9" max="9" width="21" style="11" customWidth="1"/>
    <col min="10" max="11" width="14.26953125" style="11" customWidth="1"/>
    <col min="12" max="12" width="14.54296875" style="11" customWidth="1"/>
    <col min="13" max="13" width="14.1796875" style="11" customWidth="1"/>
    <col min="14" max="14" width="37.54296875" style="11" customWidth="1"/>
    <col min="15" max="16384" width="9.1796875" style="11"/>
  </cols>
  <sheetData>
    <row r="1" spans="1:14" ht="15.5" x14ac:dyDescent="0.35">
      <c r="B1" s="8"/>
      <c r="C1" s="8"/>
      <c r="D1" s="8"/>
      <c r="E1" s="8"/>
      <c r="F1" s="8"/>
      <c r="G1" s="8"/>
      <c r="H1" s="8"/>
      <c r="I1" s="147"/>
      <c r="J1" s="148"/>
      <c r="K1" s="148"/>
      <c r="L1" s="8"/>
      <c r="M1" s="8"/>
      <c r="N1" s="9"/>
    </row>
    <row r="2" spans="1:14" ht="15.5" x14ac:dyDescent="0.35">
      <c r="A2" s="718" t="s">
        <v>175</v>
      </c>
      <c r="B2" s="718"/>
      <c r="C2" s="718"/>
      <c r="D2" s="8"/>
      <c r="E2" s="8"/>
      <c r="F2" s="8"/>
      <c r="G2" s="8"/>
      <c r="H2" s="8"/>
      <c r="I2" s="147"/>
      <c r="J2" s="148"/>
      <c r="K2" s="148"/>
      <c r="L2" s="8"/>
      <c r="M2" s="8"/>
      <c r="N2" s="9"/>
    </row>
    <row r="3" spans="1:14" ht="15.5" x14ac:dyDescent="0.35">
      <c r="B3" s="34"/>
      <c r="C3" s="8"/>
      <c r="D3" s="8"/>
      <c r="E3" s="8"/>
      <c r="F3" s="8"/>
      <c r="G3" s="8"/>
      <c r="H3" s="8"/>
      <c r="I3" s="147"/>
      <c r="J3" s="148"/>
      <c r="K3" s="148"/>
      <c r="L3" s="8"/>
      <c r="M3" s="97"/>
      <c r="N3" s="9"/>
    </row>
    <row r="4" spans="1:14" ht="17.5" x14ac:dyDescent="0.35">
      <c r="B4" s="589" t="s">
        <v>9</v>
      </c>
      <c r="C4" s="589"/>
      <c r="D4" s="589"/>
      <c r="E4" s="589"/>
      <c r="F4" s="590"/>
      <c r="G4" s="591"/>
      <c r="H4" s="591"/>
      <c r="I4" s="591"/>
      <c r="J4" s="591"/>
      <c r="K4" s="591"/>
      <c r="L4" s="591"/>
      <c r="M4" s="591"/>
      <c r="N4" s="592"/>
    </row>
    <row r="5" spans="1:14" ht="15.75" customHeight="1" x14ac:dyDescent="0.35">
      <c r="A5" s="600" t="s">
        <v>48</v>
      </c>
      <c r="B5" s="600"/>
      <c r="C5" s="600"/>
      <c r="D5" s="600"/>
      <c r="E5" s="600"/>
      <c r="F5" s="600"/>
      <c r="G5" s="593" t="s">
        <v>9</v>
      </c>
      <c r="H5" s="594"/>
      <c r="I5" s="594"/>
      <c r="J5" s="594"/>
      <c r="K5" s="594"/>
      <c r="L5" s="594"/>
      <c r="M5" s="594"/>
      <c r="N5" s="595"/>
    </row>
    <row r="6" spans="1:14" ht="15.75" customHeight="1" x14ac:dyDescent="0.35">
      <c r="A6" s="596" t="s">
        <v>950</v>
      </c>
      <c r="B6" s="596" t="s">
        <v>10</v>
      </c>
      <c r="C6" s="596" t="s">
        <v>46</v>
      </c>
      <c r="D6" s="604" t="s">
        <v>951</v>
      </c>
      <c r="E6" s="596" t="s">
        <v>11</v>
      </c>
      <c r="F6" s="596" t="s">
        <v>12</v>
      </c>
      <c r="G6" s="593" t="s">
        <v>946</v>
      </c>
      <c r="H6" s="594"/>
      <c r="I6" s="594"/>
      <c r="J6" s="595"/>
      <c r="K6" s="593" t="s">
        <v>948</v>
      </c>
      <c r="L6" s="594"/>
      <c r="M6" s="595"/>
      <c r="N6" s="604" t="s">
        <v>947</v>
      </c>
    </row>
    <row r="7" spans="1:14" ht="30" x14ac:dyDescent="0.35">
      <c r="A7" s="597"/>
      <c r="B7" s="597"/>
      <c r="C7" s="597"/>
      <c r="D7" s="597"/>
      <c r="E7" s="597"/>
      <c r="F7" s="597"/>
      <c r="G7" s="12" t="s">
        <v>14</v>
      </c>
      <c r="H7" s="12" t="s">
        <v>15</v>
      </c>
      <c r="I7" s="12" t="s">
        <v>16</v>
      </c>
      <c r="J7" s="12" t="s">
        <v>17</v>
      </c>
      <c r="K7" s="12" t="s">
        <v>952</v>
      </c>
      <c r="L7" s="12" t="s">
        <v>953</v>
      </c>
      <c r="M7" s="12" t="s">
        <v>954</v>
      </c>
      <c r="N7" s="597"/>
    </row>
    <row r="8" spans="1:14" ht="15" x14ac:dyDescent="0.35">
      <c r="A8" s="575" t="s">
        <v>18</v>
      </c>
      <c r="B8" s="576"/>
      <c r="C8" s="14"/>
      <c r="D8" s="14"/>
      <c r="E8" s="14"/>
      <c r="F8" s="32">
        <f>SUM(F9:F29)</f>
        <v>1225438.6000000001</v>
      </c>
      <c r="G8" s="14"/>
      <c r="H8" s="14"/>
      <c r="I8" s="14"/>
      <c r="J8" s="32">
        <f>SUM(J9:J29)</f>
        <v>1215164.28</v>
      </c>
      <c r="K8" s="32"/>
      <c r="L8" s="32">
        <v>1215164.28</v>
      </c>
      <c r="M8" s="32"/>
      <c r="N8" s="14"/>
    </row>
    <row r="9" spans="1:14" ht="77.5" x14ac:dyDescent="0.35">
      <c r="A9" s="399" t="s">
        <v>1075</v>
      </c>
      <c r="B9" s="456">
        <v>1</v>
      </c>
      <c r="C9" s="456" t="s">
        <v>176</v>
      </c>
      <c r="D9" s="338" t="s">
        <v>981</v>
      </c>
      <c r="E9" s="457">
        <v>1</v>
      </c>
      <c r="F9" s="458">
        <v>120000</v>
      </c>
      <c r="G9" s="459" t="s">
        <v>756</v>
      </c>
      <c r="H9" s="460">
        <v>44295</v>
      </c>
      <c r="I9" s="459" t="s">
        <v>359</v>
      </c>
      <c r="J9" s="461">
        <v>130971.61</v>
      </c>
      <c r="K9" s="461" t="s">
        <v>757</v>
      </c>
      <c r="L9" s="462">
        <v>130971.61</v>
      </c>
      <c r="M9" s="461"/>
      <c r="N9" s="463" t="s">
        <v>846</v>
      </c>
    </row>
    <row r="10" spans="1:14" ht="31" x14ac:dyDescent="0.35">
      <c r="A10" s="456" t="s">
        <v>177</v>
      </c>
      <c r="B10" s="456">
        <v>2</v>
      </c>
      <c r="C10" s="456" t="s">
        <v>177</v>
      </c>
      <c r="D10" s="338" t="s">
        <v>981</v>
      </c>
      <c r="E10" s="457">
        <v>1</v>
      </c>
      <c r="F10" s="458">
        <v>245606</v>
      </c>
      <c r="G10" s="459" t="s">
        <v>847</v>
      </c>
      <c r="H10" s="460">
        <v>44340</v>
      </c>
      <c r="I10" s="459" t="s">
        <v>561</v>
      </c>
      <c r="J10" s="461">
        <v>210612.6</v>
      </c>
      <c r="K10" s="461" t="s">
        <v>848</v>
      </c>
      <c r="L10" s="461">
        <v>210612.6</v>
      </c>
      <c r="M10" s="461"/>
      <c r="N10" s="463" t="s">
        <v>846</v>
      </c>
    </row>
    <row r="11" spans="1:14" ht="31" x14ac:dyDescent="0.35">
      <c r="A11" s="399" t="s">
        <v>1066</v>
      </c>
      <c r="B11" s="456">
        <v>3</v>
      </c>
      <c r="C11" s="456" t="s">
        <v>178</v>
      </c>
      <c r="D11" s="338" t="s">
        <v>981</v>
      </c>
      <c r="E11" s="457">
        <v>5</v>
      </c>
      <c r="F11" s="458">
        <v>190575</v>
      </c>
      <c r="G11" s="459" t="s">
        <v>849</v>
      </c>
      <c r="H11" s="460">
        <v>44321</v>
      </c>
      <c r="I11" s="459" t="s">
        <v>561</v>
      </c>
      <c r="J11" s="461">
        <v>214775</v>
      </c>
      <c r="K11" s="461" t="s">
        <v>850</v>
      </c>
      <c r="L11" s="461">
        <v>214775</v>
      </c>
      <c r="M11" s="461"/>
      <c r="N11" s="463" t="s">
        <v>846</v>
      </c>
    </row>
    <row r="12" spans="1:14" ht="31" x14ac:dyDescent="0.35">
      <c r="A12" s="399" t="s">
        <v>1077</v>
      </c>
      <c r="B12" s="456">
        <v>3</v>
      </c>
      <c r="C12" s="456" t="s">
        <v>179</v>
      </c>
      <c r="D12" s="338" t="s">
        <v>981</v>
      </c>
      <c r="E12" s="457">
        <v>6</v>
      </c>
      <c r="F12" s="458">
        <v>194928</v>
      </c>
      <c r="G12" s="459" t="s">
        <v>864</v>
      </c>
      <c r="H12" s="460">
        <v>44329</v>
      </c>
      <c r="I12" s="459" t="s">
        <v>561</v>
      </c>
      <c r="J12" s="461">
        <f>161100*1.21</f>
        <v>194931</v>
      </c>
      <c r="K12" s="461" t="s">
        <v>865</v>
      </c>
      <c r="L12" s="461">
        <v>194931</v>
      </c>
      <c r="M12" s="461"/>
      <c r="N12" s="463" t="s">
        <v>846</v>
      </c>
    </row>
    <row r="13" spans="1:14" ht="28" x14ac:dyDescent="0.35">
      <c r="A13" s="399" t="s">
        <v>1080</v>
      </c>
      <c r="B13" s="456">
        <v>4</v>
      </c>
      <c r="C13" s="456" t="s">
        <v>180</v>
      </c>
      <c r="D13" s="338" t="s">
        <v>981</v>
      </c>
      <c r="E13" s="457">
        <v>16</v>
      </c>
      <c r="F13" s="458">
        <v>30400</v>
      </c>
      <c r="G13" s="459" t="s">
        <v>866</v>
      </c>
      <c r="H13" s="460">
        <v>44355</v>
      </c>
      <c r="I13" s="459" t="s">
        <v>770</v>
      </c>
      <c r="J13" s="461">
        <f>43200*1.21</f>
        <v>52272</v>
      </c>
      <c r="K13" s="461" t="s">
        <v>867</v>
      </c>
      <c r="L13" s="461">
        <v>52272</v>
      </c>
      <c r="M13" s="461"/>
      <c r="N13" s="721" t="s">
        <v>868</v>
      </c>
    </row>
    <row r="14" spans="1:14" ht="15.5" x14ac:dyDescent="0.35">
      <c r="A14" s="399" t="s">
        <v>1079</v>
      </c>
      <c r="B14" s="456">
        <v>5</v>
      </c>
      <c r="C14" s="456" t="s">
        <v>181</v>
      </c>
      <c r="D14" s="338" t="s">
        <v>981</v>
      </c>
      <c r="E14" s="457">
        <v>20</v>
      </c>
      <c r="F14" s="458">
        <v>24000</v>
      </c>
      <c r="G14" s="459" t="s">
        <v>866</v>
      </c>
      <c r="H14" s="460">
        <v>44355</v>
      </c>
      <c r="I14" s="459" t="s">
        <v>770</v>
      </c>
      <c r="J14" s="461">
        <f>11780*1.21</f>
        <v>14253.8</v>
      </c>
      <c r="K14" s="461" t="s">
        <v>867</v>
      </c>
      <c r="L14" s="461">
        <v>14253.8</v>
      </c>
      <c r="M14" s="461"/>
      <c r="N14" s="722"/>
    </row>
    <row r="15" spans="1:14" ht="15.5" x14ac:dyDescent="0.35">
      <c r="A15" s="399" t="s">
        <v>133</v>
      </c>
      <c r="B15" s="456">
        <v>6</v>
      </c>
      <c r="C15" s="456" t="s">
        <v>182</v>
      </c>
      <c r="D15" s="338" t="s">
        <v>981</v>
      </c>
      <c r="E15" s="457">
        <v>40</v>
      </c>
      <c r="F15" s="458">
        <v>48000</v>
      </c>
      <c r="G15" s="459" t="s">
        <v>866</v>
      </c>
      <c r="H15" s="460">
        <v>44355</v>
      </c>
      <c r="I15" s="459" t="s">
        <v>770</v>
      </c>
      <c r="J15" s="461">
        <f>21760*1.21</f>
        <v>26329.599999999999</v>
      </c>
      <c r="K15" s="461" t="s">
        <v>867</v>
      </c>
      <c r="L15" s="461">
        <v>26329.599999999999</v>
      </c>
      <c r="M15" s="461"/>
      <c r="N15" s="723"/>
    </row>
    <row r="16" spans="1:14" ht="46" x14ac:dyDescent="0.35">
      <c r="A16" s="456" t="s">
        <v>1073</v>
      </c>
      <c r="B16" s="456">
        <v>7</v>
      </c>
      <c r="C16" s="456" t="s">
        <v>183</v>
      </c>
      <c r="D16" s="338" t="s">
        <v>981</v>
      </c>
      <c r="E16" s="457">
        <v>1</v>
      </c>
      <c r="F16" s="458">
        <v>2000</v>
      </c>
      <c r="G16" s="459" t="s">
        <v>758</v>
      </c>
      <c r="H16" s="460">
        <v>44299</v>
      </c>
      <c r="I16" s="459" t="s">
        <v>759</v>
      </c>
      <c r="J16" s="461">
        <f>(775+200+295+295)*1.21</f>
        <v>1893.6499999999999</v>
      </c>
      <c r="K16" s="461" t="s">
        <v>760</v>
      </c>
      <c r="L16" s="461">
        <v>1893.6499999999999</v>
      </c>
      <c r="M16" s="461"/>
      <c r="N16" s="463" t="s">
        <v>869</v>
      </c>
    </row>
    <row r="17" spans="1:14" ht="46" x14ac:dyDescent="0.35">
      <c r="A17" s="456" t="s">
        <v>1069</v>
      </c>
      <c r="B17" s="456">
        <v>8</v>
      </c>
      <c r="C17" s="456" t="s">
        <v>184</v>
      </c>
      <c r="D17" s="338" t="s">
        <v>981</v>
      </c>
      <c r="E17" s="457">
        <v>3</v>
      </c>
      <c r="F17" s="458">
        <v>5445</v>
      </c>
      <c r="G17" s="459" t="s">
        <v>761</v>
      </c>
      <c r="H17" s="460" t="s">
        <v>762</v>
      </c>
      <c r="I17" s="459" t="s">
        <v>561</v>
      </c>
      <c r="J17" s="461">
        <f>1400*3*1.21</f>
        <v>5082</v>
      </c>
      <c r="K17" s="461" t="s">
        <v>763</v>
      </c>
      <c r="L17" s="461">
        <v>5082</v>
      </c>
      <c r="M17" s="461"/>
      <c r="N17" s="463" t="s">
        <v>870</v>
      </c>
    </row>
    <row r="18" spans="1:14" ht="46.5" x14ac:dyDescent="0.35">
      <c r="A18" s="456" t="s">
        <v>1070</v>
      </c>
      <c r="B18" s="456">
        <v>9</v>
      </c>
      <c r="C18" s="456" t="s">
        <v>185</v>
      </c>
      <c r="D18" s="338" t="s">
        <v>981</v>
      </c>
      <c r="E18" s="457">
        <v>1</v>
      </c>
      <c r="F18" s="466">
        <v>8421.6</v>
      </c>
      <c r="G18" s="459" t="s">
        <v>764</v>
      </c>
      <c r="H18" s="460">
        <v>44281</v>
      </c>
      <c r="I18" s="459" t="s">
        <v>561</v>
      </c>
      <c r="J18" s="461">
        <f>(5236+76+640+770)*1.21</f>
        <v>8133.62</v>
      </c>
      <c r="K18" s="461" t="s">
        <v>765</v>
      </c>
      <c r="L18" s="461">
        <v>8133.62</v>
      </c>
      <c r="M18" s="461"/>
      <c r="N18" s="463" t="s">
        <v>871</v>
      </c>
    </row>
    <row r="19" spans="1:14" ht="62" x14ac:dyDescent="0.35">
      <c r="A19" s="399" t="s">
        <v>1018</v>
      </c>
      <c r="B19" s="456">
        <v>10</v>
      </c>
      <c r="C19" s="456" t="s">
        <v>186</v>
      </c>
      <c r="D19" s="338" t="s">
        <v>981</v>
      </c>
      <c r="E19" s="457">
        <v>6</v>
      </c>
      <c r="F19" s="458">
        <v>20442</v>
      </c>
      <c r="G19" s="459" t="s">
        <v>872</v>
      </c>
      <c r="H19" s="460">
        <v>44355</v>
      </c>
      <c r="I19" s="459" t="s">
        <v>561</v>
      </c>
      <c r="J19" s="461">
        <f>3125*6*1.21</f>
        <v>22687.5</v>
      </c>
      <c r="K19" s="461" t="s">
        <v>873</v>
      </c>
      <c r="L19" s="461">
        <v>22687.5</v>
      </c>
      <c r="M19" s="461"/>
      <c r="N19" s="463" t="s">
        <v>1081</v>
      </c>
    </row>
    <row r="20" spans="1:14" ht="46.5" x14ac:dyDescent="0.35">
      <c r="A20" s="399" t="s">
        <v>1050</v>
      </c>
      <c r="B20" s="456">
        <v>10</v>
      </c>
      <c r="C20" s="456" t="s">
        <v>187</v>
      </c>
      <c r="D20" s="338" t="s">
        <v>981</v>
      </c>
      <c r="E20" s="457">
        <v>6</v>
      </c>
      <c r="F20" s="458">
        <v>17040</v>
      </c>
      <c r="G20" s="459" t="s">
        <v>872</v>
      </c>
      <c r="H20" s="460">
        <v>44355</v>
      </c>
      <c r="I20" s="459" t="s">
        <v>561</v>
      </c>
      <c r="J20" s="461">
        <f>(399+59)*6*1.21</f>
        <v>3325.08</v>
      </c>
      <c r="K20" s="461" t="s">
        <v>873</v>
      </c>
      <c r="L20" s="461">
        <v>3325.08</v>
      </c>
      <c r="M20" s="461"/>
      <c r="N20" s="463" t="s">
        <v>1082</v>
      </c>
    </row>
    <row r="21" spans="1:14" ht="46.5" x14ac:dyDescent="0.35">
      <c r="A21" s="399" t="s">
        <v>1076</v>
      </c>
      <c r="B21" s="456">
        <v>11</v>
      </c>
      <c r="C21" s="456" t="s">
        <v>188</v>
      </c>
      <c r="D21" s="338" t="s">
        <v>981</v>
      </c>
      <c r="E21" s="457">
        <v>1</v>
      </c>
      <c r="F21" s="458">
        <v>23952</v>
      </c>
      <c r="G21" s="459" t="s">
        <v>851</v>
      </c>
      <c r="H21" s="460">
        <v>44321</v>
      </c>
      <c r="I21" s="459" t="s">
        <v>352</v>
      </c>
      <c r="J21" s="461">
        <f>(13657+2065+(3*1054)+292)*1.21</f>
        <v>23202.959999999999</v>
      </c>
      <c r="K21" s="461" t="s">
        <v>852</v>
      </c>
      <c r="L21" s="461">
        <v>23202.959999999999</v>
      </c>
      <c r="M21" s="461"/>
      <c r="N21" s="463" t="s">
        <v>874</v>
      </c>
    </row>
    <row r="22" spans="1:14" ht="46.5" x14ac:dyDescent="0.35">
      <c r="A22" s="456" t="s">
        <v>189</v>
      </c>
      <c r="B22" s="456">
        <v>12</v>
      </c>
      <c r="C22" s="456" t="s">
        <v>189</v>
      </c>
      <c r="D22" s="338" t="s">
        <v>981</v>
      </c>
      <c r="E22" s="457">
        <v>1</v>
      </c>
      <c r="F22" s="458">
        <v>19142</v>
      </c>
      <c r="G22" s="459" t="s">
        <v>853</v>
      </c>
      <c r="H22" s="460">
        <v>44294</v>
      </c>
      <c r="I22" s="459" t="s">
        <v>854</v>
      </c>
      <c r="J22" s="461">
        <f>17891.06+1206.37</f>
        <v>19097.43</v>
      </c>
      <c r="K22" s="461" t="s">
        <v>855</v>
      </c>
      <c r="L22" s="461">
        <v>19097.43</v>
      </c>
      <c r="M22" s="461"/>
      <c r="N22" s="463" t="s">
        <v>875</v>
      </c>
    </row>
    <row r="23" spans="1:14" ht="31" x14ac:dyDescent="0.35">
      <c r="A23" s="399" t="s">
        <v>1071</v>
      </c>
      <c r="B23" s="456">
        <v>13</v>
      </c>
      <c r="C23" s="456" t="s">
        <v>190</v>
      </c>
      <c r="D23" s="338" t="s">
        <v>981</v>
      </c>
      <c r="E23" s="457">
        <v>1</v>
      </c>
      <c r="F23" s="458">
        <v>8410</v>
      </c>
      <c r="G23" s="459" t="s">
        <v>766</v>
      </c>
      <c r="H23" s="460">
        <v>44279</v>
      </c>
      <c r="I23" s="459" t="s">
        <v>561</v>
      </c>
      <c r="J23" s="461">
        <f>(4450+2500)*1.21</f>
        <v>8409.5</v>
      </c>
      <c r="K23" s="461" t="s">
        <v>765</v>
      </c>
      <c r="L23" s="461">
        <v>8409.5</v>
      </c>
      <c r="M23" s="461"/>
      <c r="N23" s="463" t="s">
        <v>846</v>
      </c>
    </row>
    <row r="24" spans="1:14" ht="46.5" x14ac:dyDescent="0.35">
      <c r="A24" s="399" t="s">
        <v>1078</v>
      </c>
      <c r="B24" s="456">
        <v>14</v>
      </c>
      <c r="C24" s="456" t="s">
        <v>191</v>
      </c>
      <c r="D24" s="338" t="s">
        <v>981</v>
      </c>
      <c r="E24" s="457">
        <v>14</v>
      </c>
      <c r="F24" s="458">
        <v>77924</v>
      </c>
      <c r="G24" s="459" t="s">
        <v>872</v>
      </c>
      <c r="H24" s="460">
        <v>44355</v>
      </c>
      <c r="I24" s="459" t="s">
        <v>561</v>
      </c>
      <c r="J24" s="461">
        <f>(60592+1008+420+350)*1.21</f>
        <v>75467.7</v>
      </c>
      <c r="K24" s="461" t="s">
        <v>873</v>
      </c>
      <c r="L24" s="461">
        <v>75467.7</v>
      </c>
      <c r="M24" s="461"/>
      <c r="N24" s="463" t="s">
        <v>1083</v>
      </c>
    </row>
    <row r="25" spans="1:14" ht="42" x14ac:dyDescent="0.35">
      <c r="A25" s="399" t="s">
        <v>1068</v>
      </c>
      <c r="B25" s="456">
        <v>15</v>
      </c>
      <c r="C25" s="456" t="s">
        <v>192</v>
      </c>
      <c r="D25" s="338" t="s">
        <v>981</v>
      </c>
      <c r="E25" s="457">
        <v>2</v>
      </c>
      <c r="F25" s="458">
        <v>7488</v>
      </c>
      <c r="G25" s="459" t="s">
        <v>767</v>
      </c>
      <c r="H25" s="460">
        <v>44307</v>
      </c>
      <c r="I25" s="459" t="s">
        <v>561</v>
      </c>
      <c r="J25" s="461">
        <f>7880*1.21</f>
        <v>9534.7999999999993</v>
      </c>
      <c r="K25" s="461" t="s">
        <v>768</v>
      </c>
      <c r="L25" s="461">
        <v>9534.7999999999993</v>
      </c>
      <c r="M25" s="461"/>
      <c r="N25" s="463" t="s">
        <v>846</v>
      </c>
    </row>
    <row r="26" spans="1:14" ht="31" x14ac:dyDescent="0.35">
      <c r="A26" s="399" t="s">
        <v>1074</v>
      </c>
      <c r="B26" s="456">
        <v>16</v>
      </c>
      <c r="C26" s="456" t="s">
        <v>193</v>
      </c>
      <c r="D26" s="338" t="s">
        <v>981</v>
      </c>
      <c r="E26" s="457">
        <v>10</v>
      </c>
      <c r="F26" s="458">
        <v>21000</v>
      </c>
      <c r="G26" s="459" t="s">
        <v>769</v>
      </c>
      <c r="H26" s="460">
        <v>44264</v>
      </c>
      <c r="I26" s="459" t="s">
        <v>770</v>
      </c>
      <c r="J26" s="461">
        <f>2842.5*10*1.21</f>
        <v>34394.25</v>
      </c>
      <c r="K26" s="461" t="s">
        <v>771</v>
      </c>
      <c r="L26" s="461">
        <v>34394.25</v>
      </c>
      <c r="M26" s="461"/>
      <c r="N26" s="463" t="s">
        <v>846</v>
      </c>
    </row>
    <row r="27" spans="1:14" ht="31" x14ac:dyDescent="0.35">
      <c r="A27" s="399" t="s">
        <v>1072</v>
      </c>
      <c r="B27" s="456">
        <v>17</v>
      </c>
      <c r="C27" s="456" t="s">
        <v>194</v>
      </c>
      <c r="D27" s="338" t="s">
        <v>981</v>
      </c>
      <c r="E27" s="457">
        <v>5</v>
      </c>
      <c r="F27" s="458">
        <v>5665</v>
      </c>
      <c r="G27" s="459" t="s">
        <v>772</v>
      </c>
      <c r="H27" s="460">
        <v>44307</v>
      </c>
      <c r="I27" s="459" t="s">
        <v>773</v>
      </c>
      <c r="J27" s="461">
        <v>3720.75</v>
      </c>
      <c r="K27" s="461" t="s">
        <v>774</v>
      </c>
      <c r="L27" s="461">
        <v>3720.75</v>
      </c>
      <c r="M27" s="461"/>
      <c r="N27" s="463" t="s">
        <v>846</v>
      </c>
    </row>
    <row r="28" spans="1:14" ht="31" x14ac:dyDescent="0.35">
      <c r="A28" s="399" t="s">
        <v>71</v>
      </c>
      <c r="B28" s="456">
        <v>18</v>
      </c>
      <c r="C28" s="456" t="s">
        <v>71</v>
      </c>
      <c r="D28" s="338" t="s">
        <v>981</v>
      </c>
      <c r="E28" s="465">
        <v>1</v>
      </c>
      <c r="F28" s="466">
        <v>45000</v>
      </c>
      <c r="G28" s="459" t="s">
        <v>775</v>
      </c>
      <c r="H28" s="460">
        <v>44312</v>
      </c>
      <c r="I28" s="459" t="s">
        <v>555</v>
      </c>
      <c r="J28" s="461">
        <v>45959.43</v>
      </c>
      <c r="K28" s="461" t="s">
        <v>776</v>
      </c>
      <c r="L28" s="461">
        <v>45959.43</v>
      </c>
      <c r="M28" s="461"/>
      <c r="N28" s="463" t="s">
        <v>846</v>
      </c>
    </row>
    <row r="29" spans="1:14" ht="46" x14ac:dyDescent="0.35">
      <c r="A29" s="399" t="s">
        <v>195</v>
      </c>
      <c r="B29" s="456">
        <v>19</v>
      </c>
      <c r="C29" s="456" t="s">
        <v>195</v>
      </c>
      <c r="D29" s="338" t="s">
        <v>981</v>
      </c>
      <c r="E29" s="465">
        <v>1</v>
      </c>
      <c r="F29" s="464">
        <v>110000</v>
      </c>
      <c r="G29" s="459" t="s">
        <v>856</v>
      </c>
      <c r="H29" s="460">
        <v>44329</v>
      </c>
      <c r="I29" s="459" t="s">
        <v>555</v>
      </c>
      <c r="J29" s="461">
        <v>110110</v>
      </c>
      <c r="K29" s="461" t="s">
        <v>857</v>
      </c>
      <c r="L29" s="461">
        <v>110110</v>
      </c>
      <c r="M29" s="461"/>
      <c r="N29" s="463" t="s">
        <v>870</v>
      </c>
    </row>
    <row r="30" spans="1:14" ht="15.5" x14ac:dyDescent="0.35">
      <c r="B30" s="8"/>
      <c r="C30" s="8"/>
      <c r="D30" s="8"/>
      <c r="E30" s="8"/>
      <c r="F30" s="8"/>
      <c r="G30" s="8"/>
      <c r="H30" s="8"/>
      <c r="I30" s="8"/>
      <c r="J30" s="8"/>
      <c r="K30" s="8"/>
      <c r="L30" s="8"/>
      <c r="M30" s="97"/>
      <c r="N30" s="8"/>
    </row>
    <row r="31" spans="1:14" ht="15.75" customHeight="1" x14ac:dyDescent="0.35">
      <c r="A31" s="719" t="s">
        <v>959</v>
      </c>
      <c r="B31" s="719"/>
      <c r="C31" s="719"/>
      <c r="D31" s="719"/>
      <c r="E31" s="719"/>
      <c r="F31" s="719"/>
      <c r="G31" s="719"/>
      <c r="H31" s="719"/>
      <c r="I31" s="719"/>
      <c r="J31" s="719"/>
      <c r="K31" s="719"/>
      <c r="L31" s="719"/>
      <c r="M31" s="719"/>
      <c r="N31" s="720"/>
    </row>
    <row r="32" spans="1:14" x14ac:dyDescent="0.35">
      <c r="A32" s="719"/>
      <c r="B32" s="719"/>
      <c r="C32" s="719"/>
      <c r="D32" s="719"/>
      <c r="E32" s="719"/>
      <c r="F32" s="719"/>
      <c r="G32" s="719"/>
      <c r="H32" s="719"/>
      <c r="I32" s="719"/>
      <c r="J32" s="719"/>
      <c r="K32" s="719"/>
      <c r="L32" s="719"/>
      <c r="M32" s="719"/>
      <c r="N32" s="720"/>
    </row>
    <row r="36" spans="2:2" ht="15.5" x14ac:dyDescent="0.35">
      <c r="B36" s="34"/>
    </row>
    <row r="37" spans="2:2" ht="15.5" x14ac:dyDescent="0.35">
      <c r="B37" s="34"/>
    </row>
  </sheetData>
  <autoFilter ref="A7:N29" xr:uid="{EF75DDB9-CA7D-41BA-B1AA-7A0940424EB7}"/>
  <mergeCells count="16">
    <mergeCell ref="A2:C2"/>
    <mergeCell ref="A8:B8"/>
    <mergeCell ref="A31:N32"/>
    <mergeCell ref="N13:N15"/>
    <mergeCell ref="B4:N4"/>
    <mergeCell ref="G5:N5"/>
    <mergeCell ref="B6:B7"/>
    <mergeCell ref="C6:C7"/>
    <mergeCell ref="E6:E7"/>
    <mergeCell ref="F6:F7"/>
    <mergeCell ref="G6:J6"/>
    <mergeCell ref="N6:N7"/>
    <mergeCell ref="A5:F5"/>
    <mergeCell ref="K6:M6"/>
    <mergeCell ref="D6:D7"/>
    <mergeCell ref="A6:A7"/>
  </mergeCells>
  <pageMargins left="0.7" right="0.7" top="0.75" bottom="0.75" header="0.3" footer="0.3"/>
  <pageSetup paperSize="9" scale="32"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7D1B8-6E42-4DB6-8FED-6E21C82377F9}">
  <sheetPr>
    <tabColor rgb="FF00B0F0"/>
  </sheetPr>
  <dimension ref="A1:O31"/>
  <sheetViews>
    <sheetView view="pageBreakPreview" zoomScale="60" zoomScaleNormal="90" workbookViewId="0">
      <selection activeCell="C29" sqref="C29"/>
    </sheetView>
  </sheetViews>
  <sheetFormatPr defaultColWidth="9.1796875" defaultRowHeight="14" x14ac:dyDescent="0.35"/>
  <cols>
    <col min="1" max="1" width="21.81640625" style="11" customWidth="1"/>
    <col min="2" max="2" width="18.7265625" style="11" customWidth="1"/>
    <col min="3" max="3" width="35.54296875" style="11" customWidth="1"/>
    <col min="4" max="4" width="27.1796875" style="11" customWidth="1"/>
    <col min="5" max="5" width="8.1796875" style="11" customWidth="1"/>
    <col min="6" max="6" width="12.7265625" style="11" customWidth="1"/>
    <col min="7" max="8" width="14.1796875" style="11" customWidth="1"/>
    <col min="9" max="9" width="22.81640625" style="11" bestFit="1" customWidth="1"/>
    <col min="10" max="11" width="14.7265625" style="11" customWidth="1"/>
    <col min="12" max="12" width="16.7265625" style="11" customWidth="1"/>
    <col min="13" max="13" width="18.1796875" style="11" customWidth="1"/>
    <col min="14" max="14" width="32.7265625" style="11" customWidth="1"/>
    <col min="15" max="15" width="10" style="11" bestFit="1" customWidth="1"/>
    <col min="16" max="16384" width="9.1796875" style="11"/>
  </cols>
  <sheetData>
    <row r="1" spans="1:14" ht="15.5" x14ac:dyDescent="0.35">
      <c r="B1" s="8"/>
      <c r="C1" s="8"/>
      <c r="D1" s="8"/>
      <c r="E1" s="8"/>
      <c r="F1" s="8"/>
      <c r="G1" s="8"/>
      <c r="H1" s="8"/>
      <c r="I1" s="8"/>
      <c r="J1" s="8"/>
      <c r="K1" s="8"/>
      <c r="L1" s="8"/>
      <c r="M1" s="8"/>
      <c r="N1" s="9"/>
    </row>
    <row r="2" spans="1:14" ht="15.5" x14ac:dyDescent="0.35">
      <c r="A2" s="169" t="s">
        <v>383</v>
      </c>
      <c r="B2" s="169"/>
      <c r="C2" s="147"/>
      <c r="D2" s="147"/>
      <c r="E2" s="8"/>
      <c r="F2" s="8"/>
      <c r="G2" s="8"/>
      <c r="H2" s="8"/>
      <c r="I2" s="8"/>
      <c r="J2" s="8"/>
      <c r="K2" s="8"/>
      <c r="L2" s="8"/>
      <c r="M2" s="8"/>
      <c r="N2" s="9"/>
    </row>
    <row r="3" spans="1:14" ht="15.5" x14ac:dyDescent="0.35">
      <c r="B3" s="8"/>
      <c r="C3" s="8"/>
      <c r="D3" s="8"/>
      <c r="E3" s="8"/>
      <c r="F3" s="8"/>
      <c r="G3" s="8"/>
      <c r="H3" s="8"/>
      <c r="I3" s="8"/>
      <c r="J3" s="8"/>
      <c r="K3" s="8"/>
      <c r="L3" s="147"/>
      <c r="M3" s="171"/>
      <c r="N3" s="9"/>
    </row>
    <row r="4" spans="1:14" ht="17.5" x14ac:dyDescent="0.35">
      <c r="B4" s="589" t="s">
        <v>9</v>
      </c>
      <c r="C4" s="589"/>
      <c r="D4" s="589"/>
      <c r="E4" s="589"/>
      <c r="F4" s="590"/>
      <c r="G4" s="591"/>
      <c r="H4" s="591"/>
      <c r="I4" s="591"/>
      <c r="J4" s="591"/>
      <c r="K4" s="591"/>
      <c r="L4" s="591"/>
      <c r="M4" s="591"/>
      <c r="N4" s="592"/>
    </row>
    <row r="5" spans="1:14" ht="15" x14ac:dyDescent="0.35">
      <c r="A5" s="600" t="s">
        <v>48</v>
      </c>
      <c r="B5" s="600"/>
      <c r="C5" s="600"/>
      <c r="D5" s="600"/>
      <c r="E5" s="600"/>
      <c r="F5" s="600"/>
      <c r="G5" s="593" t="s">
        <v>9</v>
      </c>
      <c r="H5" s="594"/>
      <c r="I5" s="594"/>
      <c r="J5" s="594"/>
      <c r="K5" s="594"/>
      <c r="L5" s="594"/>
      <c r="M5" s="594"/>
      <c r="N5" s="595"/>
    </row>
    <row r="6" spans="1:14" ht="15.75" customHeight="1" x14ac:dyDescent="0.35">
      <c r="A6" s="596" t="s">
        <v>950</v>
      </c>
      <c r="B6" s="596" t="s">
        <v>10</v>
      </c>
      <c r="C6" s="596" t="s">
        <v>46</v>
      </c>
      <c r="D6" s="596" t="s">
        <v>951</v>
      </c>
      <c r="E6" s="596" t="s">
        <v>11</v>
      </c>
      <c r="F6" s="596" t="s">
        <v>533</v>
      </c>
      <c r="G6" s="593" t="s">
        <v>946</v>
      </c>
      <c r="H6" s="594"/>
      <c r="I6" s="594"/>
      <c r="J6" s="595"/>
      <c r="K6" s="593" t="s">
        <v>948</v>
      </c>
      <c r="L6" s="594"/>
      <c r="M6" s="595"/>
      <c r="N6" s="604" t="s">
        <v>947</v>
      </c>
    </row>
    <row r="7" spans="1:14" ht="30" x14ac:dyDescent="0.35">
      <c r="A7" s="597"/>
      <c r="B7" s="597"/>
      <c r="C7" s="597"/>
      <c r="D7" s="597"/>
      <c r="E7" s="597"/>
      <c r="F7" s="597"/>
      <c r="G7" s="12" t="s">
        <v>14</v>
      </c>
      <c r="H7" s="12" t="s">
        <v>15</v>
      </c>
      <c r="I7" s="12" t="s">
        <v>16</v>
      </c>
      <c r="J7" s="12" t="s">
        <v>534</v>
      </c>
      <c r="K7" s="12" t="s">
        <v>952</v>
      </c>
      <c r="L7" s="12" t="s">
        <v>953</v>
      </c>
      <c r="M7" s="12" t="s">
        <v>954</v>
      </c>
      <c r="N7" s="597"/>
    </row>
    <row r="8" spans="1:14" ht="15" x14ac:dyDescent="0.35">
      <c r="A8" s="642" t="s">
        <v>18</v>
      </c>
      <c r="B8" s="642"/>
      <c r="C8" s="29" t="s">
        <v>19</v>
      </c>
      <c r="D8" s="29"/>
      <c r="E8" s="29"/>
      <c r="F8" s="59">
        <f>SUM(F9:F24)</f>
        <v>222470</v>
      </c>
      <c r="G8" s="14" t="s">
        <v>19</v>
      </c>
      <c r="H8" s="14" t="s">
        <v>19</v>
      </c>
      <c r="I8" s="14" t="s">
        <v>19</v>
      </c>
      <c r="J8" s="59">
        <f>SUM(J9:J24)</f>
        <v>140970.68</v>
      </c>
      <c r="K8" s="14"/>
      <c r="L8" s="59">
        <f>SUM(L9:L24)</f>
        <v>140970.68</v>
      </c>
      <c r="M8" s="14"/>
      <c r="N8" s="14" t="s">
        <v>19</v>
      </c>
    </row>
    <row r="9" spans="1:14" ht="45" x14ac:dyDescent="0.35">
      <c r="A9" s="228"/>
      <c r="B9" s="314"/>
      <c r="C9" s="309" t="s">
        <v>384</v>
      </c>
      <c r="D9" s="24" t="s">
        <v>981</v>
      </c>
      <c r="E9" s="310">
        <v>15</v>
      </c>
      <c r="F9" s="311">
        <v>54000</v>
      </c>
      <c r="G9" s="312"/>
      <c r="H9" s="170"/>
      <c r="I9" s="170"/>
      <c r="J9" s="170"/>
      <c r="K9" s="170"/>
      <c r="L9" s="170"/>
      <c r="M9" s="170"/>
      <c r="N9" s="313" t="s">
        <v>385</v>
      </c>
    </row>
    <row r="10" spans="1:14" ht="60" x14ac:dyDescent="0.35">
      <c r="A10" s="467" t="s">
        <v>150</v>
      </c>
      <c r="B10" s="300"/>
      <c r="C10" s="467" t="s">
        <v>150</v>
      </c>
      <c r="D10" s="213" t="s">
        <v>981</v>
      </c>
      <c r="E10" s="294">
        <v>10</v>
      </c>
      <c r="F10" s="298">
        <v>9700</v>
      </c>
      <c r="G10" s="294" t="s">
        <v>386</v>
      </c>
      <c r="H10" s="294" t="s">
        <v>387</v>
      </c>
      <c r="I10" s="301" t="s">
        <v>535</v>
      </c>
      <c r="J10" s="303">
        <v>9438</v>
      </c>
      <c r="K10" s="303">
        <v>157</v>
      </c>
      <c r="L10" s="303">
        <v>9438</v>
      </c>
      <c r="M10" s="303"/>
      <c r="N10" s="60" t="s">
        <v>388</v>
      </c>
    </row>
    <row r="11" spans="1:14" ht="60" x14ac:dyDescent="0.35">
      <c r="A11" s="212" t="s">
        <v>1084</v>
      </c>
      <c r="B11" s="295"/>
      <c r="C11" s="296" t="s">
        <v>389</v>
      </c>
      <c r="D11" s="213" t="s">
        <v>981</v>
      </c>
      <c r="E11" s="297">
        <v>10</v>
      </c>
      <c r="F11" s="298">
        <v>2500</v>
      </c>
      <c r="G11" s="294" t="s">
        <v>390</v>
      </c>
      <c r="H11" s="294" t="s">
        <v>358</v>
      </c>
      <c r="I11" s="302" t="s">
        <v>536</v>
      </c>
      <c r="J11" s="303">
        <v>7199.5</v>
      </c>
      <c r="K11" s="303">
        <v>168</v>
      </c>
      <c r="L11" s="303">
        <v>7199.5</v>
      </c>
      <c r="M11" s="304"/>
      <c r="N11" s="60" t="s">
        <v>391</v>
      </c>
    </row>
    <row r="12" spans="1:14" ht="45" x14ac:dyDescent="0.35">
      <c r="A12" s="305" t="s">
        <v>1085</v>
      </c>
      <c r="B12" s="295"/>
      <c r="C12" s="305" t="s">
        <v>392</v>
      </c>
      <c r="D12" s="213" t="s">
        <v>981</v>
      </c>
      <c r="E12" s="297">
        <v>20</v>
      </c>
      <c r="F12" s="298">
        <v>5000</v>
      </c>
      <c r="G12" s="301" t="s">
        <v>393</v>
      </c>
      <c r="H12" s="294" t="s">
        <v>306</v>
      </c>
      <c r="I12" s="302" t="s">
        <v>537</v>
      </c>
      <c r="J12" s="303">
        <v>1887.6</v>
      </c>
      <c r="K12" s="303">
        <v>162</v>
      </c>
      <c r="L12" s="303">
        <v>1887.6</v>
      </c>
      <c r="M12" s="306"/>
      <c r="N12" s="60" t="s">
        <v>394</v>
      </c>
    </row>
    <row r="13" spans="1:14" ht="45" x14ac:dyDescent="0.35">
      <c r="A13" s="296" t="s">
        <v>1089</v>
      </c>
      <c r="B13" s="295"/>
      <c r="C13" s="296" t="s">
        <v>395</v>
      </c>
      <c r="D13" s="213" t="s">
        <v>981</v>
      </c>
      <c r="E13" s="297">
        <v>20</v>
      </c>
      <c r="F13" s="298">
        <v>14000</v>
      </c>
      <c r="G13" s="299" t="s">
        <v>1016</v>
      </c>
      <c r="H13" s="300" t="s">
        <v>1010</v>
      </c>
      <c r="I13" s="300" t="s">
        <v>1001</v>
      </c>
      <c r="J13" s="303">
        <v>4694.8</v>
      </c>
      <c r="K13" s="303">
        <v>835</v>
      </c>
      <c r="L13" s="303">
        <v>4694.8</v>
      </c>
      <c r="M13" s="300"/>
      <c r="N13" s="301" t="s">
        <v>385</v>
      </c>
    </row>
    <row r="14" spans="1:14" ht="60" x14ac:dyDescent="0.35">
      <c r="A14" s="296" t="s">
        <v>1058</v>
      </c>
      <c r="B14" s="295"/>
      <c r="C14" s="296" t="s">
        <v>70</v>
      </c>
      <c r="D14" s="213" t="s">
        <v>981</v>
      </c>
      <c r="E14" s="297">
        <v>20</v>
      </c>
      <c r="F14" s="298">
        <v>90000</v>
      </c>
      <c r="G14" s="299" t="s">
        <v>1015</v>
      </c>
      <c r="H14" s="300" t="s">
        <v>939</v>
      </c>
      <c r="I14" s="300" t="s">
        <v>1014</v>
      </c>
      <c r="J14" s="303">
        <v>60500</v>
      </c>
      <c r="K14" s="303">
        <v>374</v>
      </c>
      <c r="L14" s="303">
        <v>60500</v>
      </c>
      <c r="M14" s="300"/>
      <c r="N14" s="301" t="s">
        <v>385</v>
      </c>
    </row>
    <row r="15" spans="1:14" ht="45" x14ac:dyDescent="0.35">
      <c r="A15" s="228"/>
      <c r="B15" s="308"/>
      <c r="C15" s="309" t="s">
        <v>396</v>
      </c>
      <c r="D15" s="24" t="s">
        <v>981</v>
      </c>
      <c r="E15" s="310">
        <v>6</v>
      </c>
      <c r="F15" s="311">
        <v>1800</v>
      </c>
      <c r="G15" s="312"/>
      <c r="H15" s="170"/>
      <c r="I15" s="313"/>
      <c r="J15" s="170"/>
      <c r="K15" s="170"/>
      <c r="L15" s="72"/>
      <c r="M15" s="170"/>
      <c r="N15" s="313" t="s">
        <v>385</v>
      </c>
    </row>
    <row r="16" spans="1:14" ht="45" x14ac:dyDescent="0.35">
      <c r="A16" s="212" t="s">
        <v>1087</v>
      </c>
      <c r="B16" s="295"/>
      <c r="C16" s="296" t="s">
        <v>397</v>
      </c>
      <c r="D16" s="213" t="s">
        <v>981</v>
      </c>
      <c r="E16" s="297">
        <v>1</v>
      </c>
      <c r="F16" s="298">
        <v>19000</v>
      </c>
      <c r="G16" s="301" t="s">
        <v>887</v>
      </c>
      <c r="H16" s="294" t="s">
        <v>888</v>
      </c>
      <c r="I16" s="302" t="s">
        <v>845</v>
      </c>
      <c r="J16" s="303">
        <v>18911.240000000002</v>
      </c>
      <c r="K16" s="303">
        <v>736</v>
      </c>
      <c r="L16" s="303">
        <v>18911.240000000002</v>
      </c>
      <c r="M16" s="306"/>
      <c r="N16" s="301" t="s">
        <v>385</v>
      </c>
    </row>
    <row r="17" spans="1:15" ht="60" x14ac:dyDescent="0.35">
      <c r="A17" s="296" t="s">
        <v>1086</v>
      </c>
      <c r="B17" s="295"/>
      <c r="C17" s="296" t="s">
        <v>398</v>
      </c>
      <c r="D17" s="213" t="s">
        <v>981</v>
      </c>
      <c r="E17" s="297">
        <v>5</v>
      </c>
      <c r="F17" s="298">
        <v>3000</v>
      </c>
      <c r="G17" s="301" t="s">
        <v>889</v>
      </c>
      <c r="H17" s="294" t="s">
        <v>890</v>
      </c>
      <c r="I17" s="300" t="s">
        <v>859</v>
      </c>
      <c r="J17" s="303">
        <v>5072.32</v>
      </c>
      <c r="K17" s="303">
        <v>337</v>
      </c>
      <c r="L17" s="303">
        <v>5072.32</v>
      </c>
      <c r="M17" s="306"/>
      <c r="N17" s="301" t="s">
        <v>385</v>
      </c>
    </row>
    <row r="18" spans="1:15" ht="60" x14ac:dyDescent="0.35">
      <c r="A18" s="296" t="s">
        <v>399</v>
      </c>
      <c r="B18" s="295"/>
      <c r="C18" s="296" t="s">
        <v>399</v>
      </c>
      <c r="D18" s="213" t="s">
        <v>981</v>
      </c>
      <c r="E18" s="297">
        <v>2</v>
      </c>
      <c r="F18" s="298">
        <v>4400</v>
      </c>
      <c r="G18" s="307" t="s">
        <v>1013</v>
      </c>
      <c r="H18" s="294" t="s">
        <v>1012</v>
      </c>
      <c r="I18" s="300" t="s">
        <v>859</v>
      </c>
      <c r="J18" s="303">
        <v>6050</v>
      </c>
      <c r="K18" s="303">
        <v>373</v>
      </c>
      <c r="L18" s="303">
        <v>6050</v>
      </c>
      <c r="M18" s="300"/>
      <c r="N18" s="301" t="s">
        <v>385</v>
      </c>
    </row>
    <row r="19" spans="1:15" ht="45" x14ac:dyDescent="0.35">
      <c r="A19" s="296" t="s">
        <v>400</v>
      </c>
      <c r="B19" s="295"/>
      <c r="C19" s="296" t="s">
        <v>400</v>
      </c>
      <c r="D19" s="213" t="s">
        <v>981</v>
      </c>
      <c r="E19" s="297">
        <v>3</v>
      </c>
      <c r="F19" s="298">
        <v>1050</v>
      </c>
      <c r="G19" s="299" t="s">
        <v>1011</v>
      </c>
      <c r="H19" s="300" t="s">
        <v>1010</v>
      </c>
      <c r="I19" s="300" t="s">
        <v>1009</v>
      </c>
      <c r="J19" s="303">
        <v>932.91</v>
      </c>
      <c r="K19" s="303">
        <v>843</v>
      </c>
      <c r="L19" s="303">
        <v>932.91</v>
      </c>
      <c r="M19" s="300"/>
      <c r="N19" s="301" t="s">
        <v>385</v>
      </c>
    </row>
    <row r="20" spans="1:15" ht="45" x14ac:dyDescent="0.35">
      <c r="A20" s="296" t="s">
        <v>401</v>
      </c>
      <c r="B20" s="295"/>
      <c r="C20" s="296" t="s">
        <v>401</v>
      </c>
      <c r="D20" s="213" t="s">
        <v>981</v>
      </c>
      <c r="E20" s="297">
        <v>9</v>
      </c>
      <c r="F20" s="298">
        <v>3420</v>
      </c>
      <c r="G20" s="299" t="s">
        <v>1008</v>
      </c>
      <c r="H20" s="300" t="s">
        <v>1005</v>
      </c>
      <c r="I20" s="300" t="s">
        <v>1007</v>
      </c>
      <c r="J20" s="303">
        <v>4901.1899999999996</v>
      </c>
      <c r="K20" s="303">
        <v>394</v>
      </c>
      <c r="L20" s="303">
        <v>4901.1899999999996</v>
      </c>
      <c r="M20" s="300"/>
      <c r="N20" s="301" t="s">
        <v>385</v>
      </c>
    </row>
    <row r="21" spans="1:15" ht="45" x14ac:dyDescent="0.35">
      <c r="A21" s="296" t="s">
        <v>402</v>
      </c>
      <c r="B21" s="295"/>
      <c r="C21" s="296" t="s">
        <v>402</v>
      </c>
      <c r="D21" s="213" t="s">
        <v>981</v>
      </c>
      <c r="E21" s="297">
        <v>5</v>
      </c>
      <c r="F21" s="298">
        <v>4000</v>
      </c>
      <c r="G21" s="299" t="s">
        <v>1006</v>
      </c>
      <c r="H21" s="300" t="s">
        <v>1005</v>
      </c>
      <c r="I21" s="300" t="s">
        <v>1004</v>
      </c>
      <c r="J21" s="303">
        <v>3602.17</v>
      </c>
      <c r="K21" s="303">
        <v>844</v>
      </c>
      <c r="L21" s="303">
        <v>3602.17</v>
      </c>
      <c r="M21" s="300"/>
      <c r="N21" s="301" t="s">
        <v>385</v>
      </c>
    </row>
    <row r="22" spans="1:15" ht="45" x14ac:dyDescent="0.35">
      <c r="A22" s="296" t="s">
        <v>403</v>
      </c>
      <c r="B22" s="295"/>
      <c r="C22" s="296" t="s">
        <v>403</v>
      </c>
      <c r="D22" s="213" t="s">
        <v>981</v>
      </c>
      <c r="E22" s="297">
        <v>5</v>
      </c>
      <c r="F22" s="298">
        <v>600</v>
      </c>
      <c r="G22" s="307" t="s">
        <v>1003</v>
      </c>
      <c r="H22" s="294" t="s">
        <v>1002</v>
      </c>
      <c r="I22" s="300" t="s">
        <v>1001</v>
      </c>
      <c r="J22" s="303">
        <v>780.45</v>
      </c>
      <c r="K22" s="303">
        <v>871</v>
      </c>
      <c r="L22" s="303">
        <v>780.45</v>
      </c>
      <c r="M22" s="300"/>
      <c r="N22" s="301" t="s">
        <v>385</v>
      </c>
    </row>
    <row r="23" spans="1:15" ht="45" x14ac:dyDescent="0.35">
      <c r="A23" s="296" t="s">
        <v>1088</v>
      </c>
      <c r="B23" s="295"/>
      <c r="C23" s="296" t="s">
        <v>404</v>
      </c>
      <c r="D23" s="213" t="s">
        <v>981</v>
      </c>
      <c r="E23" s="297">
        <v>20</v>
      </c>
      <c r="F23" s="298">
        <v>1000</v>
      </c>
      <c r="G23" s="294" t="s">
        <v>891</v>
      </c>
      <c r="H23" s="294" t="s">
        <v>892</v>
      </c>
      <c r="I23" s="300" t="s">
        <v>893</v>
      </c>
      <c r="J23" s="303">
        <v>542.08000000000004</v>
      </c>
      <c r="K23" s="303">
        <v>332</v>
      </c>
      <c r="L23" s="303">
        <v>542.08000000000004</v>
      </c>
      <c r="M23" s="306"/>
      <c r="N23" s="301" t="s">
        <v>385</v>
      </c>
    </row>
    <row r="24" spans="1:15" ht="75" x14ac:dyDescent="0.35">
      <c r="A24" s="296" t="s">
        <v>47</v>
      </c>
      <c r="B24" s="295"/>
      <c r="C24" s="296" t="s">
        <v>47</v>
      </c>
      <c r="D24" s="213" t="s">
        <v>981</v>
      </c>
      <c r="E24" s="297">
        <v>6</v>
      </c>
      <c r="F24" s="298">
        <v>9000</v>
      </c>
      <c r="G24" s="307" t="s">
        <v>538</v>
      </c>
      <c r="H24" s="307" t="s">
        <v>342</v>
      </c>
      <c r="I24" s="301" t="s">
        <v>539</v>
      </c>
      <c r="J24" s="303">
        <v>16458.419999999998</v>
      </c>
      <c r="K24" s="303">
        <v>287</v>
      </c>
      <c r="L24" s="303">
        <v>16458.419999999998</v>
      </c>
      <c r="M24" s="303"/>
      <c r="N24" s="294" t="s">
        <v>405</v>
      </c>
      <c r="O24" s="96"/>
    </row>
    <row r="25" spans="1:15" ht="15.5" x14ac:dyDescent="0.35">
      <c r="B25" s="8"/>
      <c r="C25" s="8"/>
      <c r="D25" s="8"/>
      <c r="E25" s="8"/>
      <c r="F25" s="8"/>
      <c r="G25" s="8"/>
      <c r="H25" s="8"/>
      <c r="I25" s="8"/>
      <c r="J25" s="8"/>
      <c r="K25" s="8"/>
      <c r="L25" s="8"/>
      <c r="M25" s="8"/>
      <c r="N25" s="8"/>
    </row>
    <row r="26" spans="1:15" ht="15.75" customHeight="1" x14ac:dyDescent="0.35">
      <c r="A26" s="724" t="s">
        <v>1143</v>
      </c>
      <c r="B26" s="724"/>
      <c r="C26" s="724"/>
      <c r="D26" s="724"/>
      <c r="E26" s="724"/>
      <c r="F26" s="724"/>
      <c r="G26" s="724"/>
      <c r="H26" s="724"/>
      <c r="I26" s="724"/>
      <c r="J26" s="724"/>
      <c r="K26" s="724"/>
      <c r="L26" s="724"/>
      <c r="M26" s="724"/>
      <c r="N26" s="725"/>
    </row>
    <row r="27" spans="1:15" ht="15.75" customHeight="1" x14ac:dyDescent="0.35">
      <c r="A27" s="724"/>
      <c r="B27" s="724"/>
      <c r="C27" s="724"/>
      <c r="D27" s="724"/>
      <c r="E27" s="724"/>
      <c r="F27" s="724"/>
      <c r="G27" s="724"/>
      <c r="H27" s="724"/>
      <c r="I27" s="724"/>
      <c r="J27" s="724"/>
      <c r="K27" s="724"/>
      <c r="L27" s="724"/>
      <c r="M27" s="724"/>
      <c r="N27" s="725"/>
    </row>
    <row r="31" spans="1:15" x14ac:dyDescent="0.35">
      <c r="C31" s="61"/>
      <c r="D31" s="61"/>
      <c r="N31" s="61"/>
    </row>
  </sheetData>
  <autoFilter ref="A7:O24" xr:uid="{EA06AF40-4A2B-4196-B3A9-F768271ACF86}"/>
  <mergeCells count="14">
    <mergeCell ref="A26:N27"/>
    <mergeCell ref="A8:B8"/>
    <mergeCell ref="B4:N4"/>
    <mergeCell ref="G5:N5"/>
    <mergeCell ref="B6:B7"/>
    <mergeCell ref="C6:C7"/>
    <mergeCell ref="E6:E7"/>
    <mergeCell ref="F6:F7"/>
    <mergeCell ref="G6:J6"/>
    <mergeCell ref="N6:N7"/>
    <mergeCell ref="K6:M6"/>
    <mergeCell ref="A5:F5"/>
    <mergeCell ref="D6:D7"/>
    <mergeCell ref="A6:A7"/>
  </mergeCells>
  <pageMargins left="0.7" right="0.7" top="0.75" bottom="0.75" header="0.3" footer="0.3"/>
  <pageSetup paperSize="9" scale="32" orientation="portrait" horizontalDpi="90" verticalDpi="90"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FD13-052F-4C59-AB7A-A58E6D9432B1}">
  <sheetPr>
    <tabColor rgb="FF00B0F0"/>
  </sheetPr>
  <dimension ref="A1:O43"/>
  <sheetViews>
    <sheetView view="pageBreakPreview" topLeftCell="A37" zoomScale="60" zoomScaleNormal="100" workbookViewId="0">
      <selection activeCell="O22" sqref="O22"/>
    </sheetView>
  </sheetViews>
  <sheetFormatPr defaultColWidth="9.1796875" defaultRowHeight="14" outlineLevelCol="1" x14ac:dyDescent="0.35"/>
  <cols>
    <col min="1" max="1" width="16.26953125" style="11" customWidth="1"/>
    <col min="2" max="2" width="15.26953125" style="11" customWidth="1"/>
    <col min="3" max="3" width="27.26953125" style="11" customWidth="1"/>
    <col min="4" max="4" width="18.7265625" style="11" customWidth="1"/>
    <col min="5" max="5" width="14.26953125" style="11" customWidth="1"/>
    <col min="6" max="6" width="16.81640625" style="11" customWidth="1"/>
    <col min="7" max="7" width="14.54296875" style="11" customWidth="1"/>
    <col min="8" max="8" width="14.1796875" style="11" customWidth="1"/>
    <col min="9" max="9" width="21" style="11" customWidth="1"/>
    <col min="10" max="11" width="14.26953125" style="66" customWidth="1"/>
    <col min="12" max="12" width="14.54296875" style="11" customWidth="1"/>
    <col min="13" max="13" width="14.1796875" style="66" customWidth="1"/>
    <col min="14" max="14" width="32.81640625" style="11" customWidth="1"/>
    <col min="15" max="15" width="10" style="11" customWidth="1" outlineLevel="1"/>
    <col min="16" max="16384" width="9.1796875" style="11"/>
  </cols>
  <sheetData>
    <row r="1" spans="1:14" ht="15.5" x14ac:dyDescent="0.35">
      <c r="B1" s="8"/>
      <c r="C1" s="8"/>
      <c r="D1" s="8"/>
      <c r="E1" s="8"/>
      <c r="F1" s="8"/>
      <c r="G1" s="8"/>
      <c r="H1" s="8"/>
      <c r="I1" s="8"/>
      <c r="J1" s="63"/>
      <c r="K1" s="63"/>
      <c r="L1" s="8"/>
      <c r="M1" s="63"/>
      <c r="N1" s="9"/>
    </row>
    <row r="2" spans="1:14" ht="15.5" x14ac:dyDescent="0.35">
      <c r="A2" s="748" t="s">
        <v>143</v>
      </c>
      <c r="B2" s="748"/>
      <c r="C2" s="748"/>
      <c r="D2" s="8"/>
      <c r="E2" s="8"/>
      <c r="F2" s="8"/>
      <c r="G2" s="8"/>
      <c r="H2" s="8"/>
      <c r="I2" s="8"/>
      <c r="J2" s="63"/>
      <c r="K2" s="63"/>
      <c r="L2" s="8"/>
      <c r="M2" s="63"/>
      <c r="N2" s="9"/>
    </row>
    <row r="3" spans="1:14" ht="15.5" x14ac:dyDescent="0.35">
      <c r="B3" s="8"/>
      <c r="C3" s="8"/>
      <c r="D3" s="8"/>
      <c r="E3" s="8"/>
      <c r="F3" s="8"/>
      <c r="G3" s="8"/>
      <c r="H3" s="8"/>
      <c r="I3" s="147"/>
      <c r="J3" s="172"/>
      <c r="K3" s="172"/>
      <c r="L3" s="8"/>
      <c r="M3" s="63"/>
      <c r="N3" s="9"/>
    </row>
    <row r="4" spans="1:14" ht="17.5" x14ac:dyDescent="0.35">
      <c r="B4" s="589" t="s">
        <v>9</v>
      </c>
      <c r="C4" s="589"/>
      <c r="D4" s="589"/>
      <c r="E4" s="589"/>
      <c r="F4" s="590"/>
      <c r="G4" s="591"/>
      <c r="H4" s="591"/>
      <c r="I4" s="591"/>
      <c r="J4" s="591"/>
      <c r="K4" s="591"/>
      <c r="L4" s="591"/>
      <c r="M4" s="591"/>
      <c r="N4" s="592"/>
    </row>
    <row r="5" spans="1:14" ht="15" x14ac:dyDescent="0.35">
      <c r="A5" s="600" t="s">
        <v>48</v>
      </c>
      <c r="B5" s="600"/>
      <c r="C5" s="600"/>
      <c r="D5" s="600"/>
      <c r="E5" s="600"/>
      <c r="F5" s="600"/>
      <c r="G5" s="593" t="s">
        <v>9</v>
      </c>
      <c r="H5" s="594"/>
      <c r="I5" s="594"/>
      <c r="J5" s="594"/>
      <c r="K5" s="594"/>
      <c r="L5" s="594"/>
      <c r="M5" s="594"/>
      <c r="N5" s="595"/>
    </row>
    <row r="6" spans="1:14" ht="15.75" customHeight="1" x14ac:dyDescent="0.35">
      <c r="A6" s="596" t="s">
        <v>950</v>
      </c>
      <c r="B6" s="596" t="s">
        <v>10</v>
      </c>
      <c r="C6" s="596" t="s">
        <v>46</v>
      </c>
      <c r="D6" s="596" t="s">
        <v>951</v>
      </c>
      <c r="E6" s="596" t="s">
        <v>11</v>
      </c>
      <c r="F6" s="596" t="s">
        <v>12</v>
      </c>
      <c r="G6" s="593" t="s">
        <v>946</v>
      </c>
      <c r="H6" s="594"/>
      <c r="I6" s="594"/>
      <c r="J6" s="595"/>
      <c r="K6" s="593" t="s">
        <v>948</v>
      </c>
      <c r="L6" s="594"/>
      <c r="M6" s="595"/>
      <c r="N6" s="604" t="s">
        <v>947</v>
      </c>
    </row>
    <row r="7" spans="1:14" ht="30" x14ac:dyDescent="0.35">
      <c r="A7" s="597"/>
      <c r="B7" s="597"/>
      <c r="C7" s="597"/>
      <c r="D7" s="597"/>
      <c r="E7" s="597"/>
      <c r="F7" s="597"/>
      <c r="G7" s="12" t="s">
        <v>14</v>
      </c>
      <c r="H7" s="12" t="s">
        <v>15</v>
      </c>
      <c r="I7" s="12" t="s">
        <v>16</v>
      </c>
      <c r="J7" s="64" t="s">
        <v>17</v>
      </c>
      <c r="K7" s="12" t="s">
        <v>952</v>
      </c>
      <c r="L7" s="12" t="s">
        <v>953</v>
      </c>
      <c r="M7" s="12" t="s">
        <v>954</v>
      </c>
      <c r="N7" s="597"/>
    </row>
    <row r="8" spans="1:14" ht="15" x14ac:dyDescent="0.35">
      <c r="A8" s="642" t="s">
        <v>18</v>
      </c>
      <c r="B8" s="642"/>
      <c r="C8" s="29" t="s">
        <v>19</v>
      </c>
      <c r="D8" s="29"/>
      <c r="E8" s="30">
        <f>SUM(E9:E31)</f>
        <v>93</v>
      </c>
      <c r="F8" s="31">
        <f>SUM(F9:F31)</f>
        <v>198375</v>
      </c>
      <c r="G8" s="14" t="s">
        <v>19</v>
      </c>
      <c r="H8" s="14" t="s">
        <v>19</v>
      </c>
      <c r="I8" s="14"/>
      <c r="J8" s="65">
        <f>SUM(J9:J32)</f>
        <v>192082.42999999996</v>
      </c>
      <c r="K8" s="65"/>
      <c r="L8" s="65">
        <f>SUM(L9:L32)</f>
        <v>192082.42999999996</v>
      </c>
      <c r="M8" s="65">
        <f>SUM(M9:M32)</f>
        <v>0</v>
      </c>
      <c r="N8" s="14" t="s">
        <v>19</v>
      </c>
    </row>
    <row r="9" spans="1:14" ht="46.5" x14ac:dyDescent="0.35">
      <c r="A9" s="212" t="s">
        <v>1047</v>
      </c>
      <c r="B9" s="250"/>
      <c r="C9" s="194" t="s">
        <v>144</v>
      </c>
      <c r="D9" s="213" t="s">
        <v>981</v>
      </c>
      <c r="E9" s="468">
        <v>1</v>
      </c>
      <c r="F9" s="469">
        <v>4300</v>
      </c>
      <c r="G9" s="470" t="s">
        <v>516</v>
      </c>
      <c r="H9" s="471">
        <v>44285</v>
      </c>
      <c r="I9" s="472" t="s">
        <v>145</v>
      </c>
      <c r="J9" s="473">
        <f>ROUND(3509.5*1.21,2)</f>
        <v>4246.5</v>
      </c>
      <c r="K9" s="474">
        <v>1368</v>
      </c>
      <c r="L9" s="473">
        <v>4246.5</v>
      </c>
      <c r="M9" s="475"/>
      <c r="N9" s="476" t="s">
        <v>752</v>
      </c>
    </row>
    <row r="10" spans="1:14" ht="90.75" customHeight="1" x14ac:dyDescent="0.35">
      <c r="A10" s="212" t="s">
        <v>1094</v>
      </c>
      <c r="B10" s="119"/>
      <c r="C10" s="194" t="s">
        <v>146</v>
      </c>
      <c r="D10" s="213" t="s">
        <v>981</v>
      </c>
      <c r="E10" s="468">
        <v>1</v>
      </c>
      <c r="F10" s="469">
        <v>77000</v>
      </c>
      <c r="G10" s="470" t="s">
        <v>517</v>
      </c>
      <c r="H10" s="471">
        <v>44272</v>
      </c>
      <c r="I10" s="477" t="s">
        <v>147</v>
      </c>
      <c r="J10" s="473">
        <v>76999.56</v>
      </c>
      <c r="K10" s="474">
        <v>779</v>
      </c>
      <c r="L10" s="473">
        <v>76999.56</v>
      </c>
      <c r="M10" s="475"/>
      <c r="N10" s="119" t="s">
        <v>518</v>
      </c>
    </row>
    <row r="11" spans="1:14" ht="46.5" x14ac:dyDescent="0.35">
      <c r="A11" s="194" t="s">
        <v>1095</v>
      </c>
      <c r="B11" s="119"/>
      <c r="C11" s="194" t="s">
        <v>148</v>
      </c>
      <c r="D11" s="213" t="s">
        <v>981</v>
      </c>
      <c r="E11" s="468">
        <v>2</v>
      </c>
      <c r="F11" s="469">
        <v>1450</v>
      </c>
      <c r="G11" s="470" t="s">
        <v>519</v>
      </c>
      <c r="H11" s="471">
        <v>44270</v>
      </c>
      <c r="I11" s="477" t="s">
        <v>149</v>
      </c>
      <c r="J11" s="473">
        <v>1449.58</v>
      </c>
      <c r="K11" s="474">
        <v>778</v>
      </c>
      <c r="L11" s="473">
        <v>1449.58</v>
      </c>
      <c r="M11" s="475"/>
      <c r="N11" s="119" t="s">
        <v>520</v>
      </c>
    </row>
    <row r="12" spans="1:14" ht="46.5" x14ac:dyDescent="0.35">
      <c r="A12" s="194" t="s">
        <v>150</v>
      </c>
      <c r="B12" s="119"/>
      <c r="C12" s="194" t="s">
        <v>150</v>
      </c>
      <c r="D12" s="213" t="s">
        <v>981</v>
      </c>
      <c r="E12" s="468">
        <v>10</v>
      </c>
      <c r="F12" s="469">
        <v>9700</v>
      </c>
      <c r="G12" s="470" t="s">
        <v>406</v>
      </c>
      <c r="H12" s="471">
        <v>44253</v>
      </c>
      <c r="I12" s="477" t="s">
        <v>151</v>
      </c>
      <c r="J12" s="473">
        <v>9680</v>
      </c>
      <c r="K12" s="474">
        <v>464</v>
      </c>
      <c r="L12" s="473">
        <v>9680</v>
      </c>
      <c r="M12" s="475"/>
      <c r="N12" s="119" t="s">
        <v>885</v>
      </c>
    </row>
    <row r="13" spans="1:14" ht="46.5" x14ac:dyDescent="0.35">
      <c r="A13" s="194" t="s">
        <v>1090</v>
      </c>
      <c r="B13" s="119"/>
      <c r="C13" s="194" t="s">
        <v>152</v>
      </c>
      <c r="D13" s="213" t="s">
        <v>981</v>
      </c>
      <c r="E13" s="468">
        <v>10</v>
      </c>
      <c r="F13" s="469">
        <v>3510</v>
      </c>
      <c r="G13" s="470" t="s">
        <v>407</v>
      </c>
      <c r="H13" s="471">
        <v>44243</v>
      </c>
      <c r="I13" s="477" t="s">
        <v>147</v>
      </c>
      <c r="J13" s="473">
        <v>2900.01</v>
      </c>
      <c r="K13" s="474">
        <v>381</v>
      </c>
      <c r="L13" s="473">
        <v>2900.01</v>
      </c>
      <c r="M13" s="475"/>
      <c r="N13" s="119" t="s">
        <v>885</v>
      </c>
    </row>
    <row r="14" spans="1:14" ht="46.5" x14ac:dyDescent="0.35">
      <c r="A14" s="194" t="s">
        <v>153</v>
      </c>
      <c r="B14" s="119"/>
      <c r="C14" s="194" t="s">
        <v>153</v>
      </c>
      <c r="D14" s="213" t="s">
        <v>981</v>
      </c>
      <c r="E14" s="468">
        <v>6</v>
      </c>
      <c r="F14" s="468">
        <v>930</v>
      </c>
      <c r="G14" s="470" t="s">
        <v>408</v>
      </c>
      <c r="H14" s="471">
        <v>44242</v>
      </c>
      <c r="I14" s="477" t="s">
        <v>149</v>
      </c>
      <c r="J14" s="473">
        <v>624.36</v>
      </c>
      <c r="K14" s="474">
        <v>394</v>
      </c>
      <c r="L14" s="473">
        <v>624.36</v>
      </c>
      <c r="M14" s="475"/>
      <c r="N14" s="119" t="s">
        <v>885</v>
      </c>
    </row>
    <row r="15" spans="1:14" ht="46.5" x14ac:dyDescent="0.35">
      <c r="A15" s="194" t="s">
        <v>154</v>
      </c>
      <c r="B15" s="119"/>
      <c r="C15" s="195" t="s">
        <v>154</v>
      </c>
      <c r="D15" s="213" t="s">
        <v>981</v>
      </c>
      <c r="E15" s="468">
        <v>6</v>
      </c>
      <c r="F15" s="468">
        <v>540</v>
      </c>
      <c r="G15" s="470" t="s">
        <v>407</v>
      </c>
      <c r="H15" s="471">
        <v>44243</v>
      </c>
      <c r="I15" s="477" t="s">
        <v>147</v>
      </c>
      <c r="J15" s="473">
        <v>326.7</v>
      </c>
      <c r="K15" s="474">
        <v>381</v>
      </c>
      <c r="L15" s="473">
        <v>326.7</v>
      </c>
      <c r="M15" s="475"/>
      <c r="N15" s="119" t="s">
        <v>885</v>
      </c>
    </row>
    <row r="16" spans="1:14" ht="46.5" x14ac:dyDescent="0.35">
      <c r="A16" s="195" t="s">
        <v>154</v>
      </c>
      <c r="B16" s="119"/>
      <c r="C16" s="195" t="s">
        <v>154</v>
      </c>
      <c r="D16" s="213" t="s">
        <v>981</v>
      </c>
      <c r="E16" s="468">
        <v>4</v>
      </c>
      <c r="F16" s="469">
        <v>1600</v>
      </c>
      <c r="G16" s="470" t="s">
        <v>521</v>
      </c>
      <c r="H16" s="471">
        <v>44263</v>
      </c>
      <c r="I16" s="477" t="s">
        <v>155</v>
      </c>
      <c r="J16" s="473">
        <f>ROUND(1970*1.21,2)</f>
        <v>2383.6999999999998</v>
      </c>
      <c r="K16" s="474">
        <v>746</v>
      </c>
      <c r="L16" s="473">
        <v>2383.6999999999998</v>
      </c>
      <c r="M16" s="475"/>
      <c r="N16" s="119" t="s">
        <v>522</v>
      </c>
    </row>
    <row r="17" spans="1:15" ht="56" x14ac:dyDescent="0.35">
      <c r="A17" s="212" t="s">
        <v>156</v>
      </c>
      <c r="B17" s="119"/>
      <c r="C17" s="194" t="s">
        <v>156</v>
      </c>
      <c r="D17" s="213" t="s">
        <v>981</v>
      </c>
      <c r="E17" s="468">
        <v>1</v>
      </c>
      <c r="F17" s="469">
        <v>5150</v>
      </c>
      <c r="G17" s="470" t="s">
        <v>409</v>
      </c>
      <c r="H17" s="471">
        <v>44249</v>
      </c>
      <c r="I17" s="472" t="s">
        <v>157</v>
      </c>
      <c r="J17" s="473">
        <f>ROUND(4250*1.21,2)</f>
        <v>5142.5</v>
      </c>
      <c r="K17" s="474">
        <v>448</v>
      </c>
      <c r="L17" s="473">
        <v>5142.5</v>
      </c>
      <c r="M17" s="475"/>
      <c r="N17" s="119" t="s">
        <v>885</v>
      </c>
    </row>
    <row r="18" spans="1:15" ht="46.5" x14ac:dyDescent="0.35">
      <c r="A18" s="194" t="s">
        <v>1091</v>
      </c>
      <c r="B18" s="119"/>
      <c r="C18" s="194" t="s">
        <v>158</v>
      </c>
      <c r="D18" s="213" t="s">
        <v>981</v>
      </c>
      <c r="E18" s="468">
        <v>1</v>
      </c>
      <c r="F18" s="469">
        <v>12600</v>
      </c>
      <c r="G18" s="470" t="s">
        <v>410</v>
      </c>
      <c r="H18" s="471">
        <v>44238</v>
      </c>
      <c r="I18" s="472" t="s">
        <v>159</v>
      </c>
      <c r="J18" s="473">
        <f>10400*1.21</f>
        <v>12584</v>
      </c>
      <c r="K18" s="474">
        <v>347</v>
      </c>
      <c r="L18" s="473">
        <v>12584</v>
      </c>
      <c r="M18" s="475"/>
      <c r="N18" s="119" t="s">
        <v>885</v>
      </c>
    </row>
    <row r="19" spans="1:15" ht="45.75" customHeight="1" x14ac:dyDescent="0.35">
      <c r="A19" s="753" t="s">
        <v>160</v>
      </c>
      <c r="B19" s="119"/>
      <c r="C19" s="194" t="s">
        <v>160</v>
      </c>
      <c r="D19" s="213" t="s">
        <v>981</v>
      </c>
      <c r="E19" s="468">
        <v>1</v>
      </c>
      <c r="F19" s="468">
        <v>760</v>
      </c>
      <c r="G19" s="746" t="s">
        <v>411</v>
      </c>
      <c r="H19" s="755">
        <v>44236</v>
      </c>
      <c r="I19" s="746" t="s">
        <v>161</v>
      </c>
      <c r="J19" s="742">
        <f>ROUND(1080*1.21,2)</f>
        <v>1306.8</v>
      </c>
      <c r="K19" s="487">
        <v>357</v>
      </c>
      <c r="L19" s="744">
        <v>1306.8</v>
      </c>
      <c r="M19" s="742"/>
      <c r="N19" s="119" t="s">
        <v>885</v>
      </c>
    </row>
    <row r="20" spans="1:15" ht="46.5" x14ac:dyDescent="0.35">
      <c r="A20" s="754"/>
      <c r="B20" s="119"/>
      <c r="C20" s="194" t="s">
        <v>162</v>
      </c>
      <c r="D20" s="213" t="s">
        <v>981</v>
      </c>
      <c r="E20" s="468">
        <v>6</v>
      </c>
      <c r="F20" s="468">
        <v>528</v>
      </c>
      <c r="G20" s="747"/>
      <c r="H20" s="747"/>
      <c r="I20" s="747"/>
      <c r="J20" s="743"/>
      <c r="K20" s="479"/>
      <c r="L20" s="745"/>
      <c r="M20" s="743"/>
      <c r="N20" s="119" t="s">
        <v>885</v>
      </c>
    </row>
    <row r="21" spans="1:15" ht="46.5" x14ac:dyDescent="0.35">
      <c r="A21" s="212" t="s">
        <v>74</v>
      </c>
      <c r="B21" s="119"/>
      <c r="C21" s="194" t="s">
        <v>163</v>
      </c>
      <c r="D21" s="213" t="s">
        <v>981</v>
      </c>
      <c r="E21" s="468">
        <v>1</v>
      </c>
      <c r="F21" s="469">
        <v>2300</v>
      </c>
      <c r="G21" s="470" t="s">
        <v>753</v>
      </c>
      <c r="H21" s="471">
        <v>44285</v>
      </c>
      <c r="I21" s="477" t="s">
        <v>149</v>
      </c>
      <c r="J21" s="473">
        <v>2286.9</v>
      </c>
      <c r="K21" s="474">
        <v>616</v>
      </c>
      <c r="L21" s="473">
        <v>2286.9</v>
      </c>
      <c r="M21" s="475"/>
      <c r="N21" s="119" t="s">
        <v>754</v>
      </c>
    </row>
    <row r="22" spans="1:15" ht="46.5" x14ac:dyDescent="0.35">
      <c r="A22" s="194" t="s">
        <v>164</v>
      </c>
      <c r="B22" s="119"/>
      <c r="C22" s="194" t="s">
        <v>164</v>
      </c>
      <c r="D22" s="213" t="s">
        <v>981</v>
      </c>
      <c r="E22" s="468">
        <v>1</v>
      </c>
      <c r="F22" s="469">
        <v>5454</v>
      </c>
      <c r="G22" s="470" t="s">
        <v>523</v>
      </c>
      <c r="H22" s="471">
        <v>44263</v>
      </c>
      <c r="I22" s="477" t="s">
        <v>147</v>
      </c>
      <c r="J22" s="473">
        <v>4598</v>
      </c>
      <c r="K22" s="474">
        <v>654</v>
      </c>
      <c r="L22" s="473">
        <v>4598</v>
      </c>
      <c r="M22" s="475"/>
      <c r="N22" s="119" t="s">
        <v>524</v>
      </c>
      <c r="O22" s="173"/>
    </row>
    <row r="23" spans="1:15" ht="46.5" x14ac:dyDescent="0.35">
      <c r="A23" s="212" t="s">
        <v>165</v>
      </c>
      <c r="B23" s="119"/>
      <c r="C23" s="194" t="s">
        <v>165</v>
      </c>
      <c r="D23" s="213" t="s">
        <v>981</v>
      </c>
      <c r="E23" s="468">
        <v>1</v>
      </c>
      <c r="F23" s="469">
        <v>1335</v>
      </c>
      <c r="G23" s="470" t="s">
        <v>525</v>
      </c>
      <c r="H23" s="471">
        <v>44272</v>
      </c>
      <c r="I23" s="477" t="s">
        <v>166</v>
      </c>
      <c r="J23" s="473">
        <v>1452</v>
      </c>
      <c r="K23" s="474">
        <v>783</v>
      </c>
      <c r="L23" s="473">
        <v>1452</v>
      </c>
      <c r="M23" s="475"/>
      <c r="N23" s="119" t="s">
        <v>526</v>
      </c>
    </row>
    <row r="24" spans="1:15" ht="46.5" x14ac:dyDescent="0.35">
      <c r="A24" s="194" t="s">
        <v>167</v>
      </c>
      <c r="B24" s="119"/>
      <c r="C24" s="194" t="s">
        <v>167</v>
      </c>
      <c r="D24" s="213" t="s">
        <v>981</v>
      </c>
      <c r="E24" s="468">
        <v>1</v>
      </c>
      <c r="F24" s="469">
        <v>1573</v>
      </c>
      <c r="G24" s="470" t="s">
        <v>406</v>
      </c>
      <c r="H24" s="471">
        <v>44253</v>
      </c>
      <c r="I24" s="477" t="s">
        <v>151</v>
      </c>
      <c r="J24" s="473">
        <v>895.4</v>
      </c>
      <c r="K24" s="474">
        <v>464</v>
      </c>
      <c r="L24" s="473">
        <v>895.4</v>
      </c>
      <c r="M24" s="475"/>
      <c r="N24" s="119" t="s">
        <v>885</v>
      </c>
    </row>
    <row r="25" spans="1:15" ht="46.5" x14ac:dyDescent="0.35">
      <c r="A25" s="212" t="s">
        <v>168</v>
      </c>
      <c r="B25" s="119"/>
      <c r="C25" s="194" t="s">
        <v>168</v>
      </c>
      <c r="D25" s="213" t="s">
        <v>981</v>
      </c>
      <c r="E25" s="468">
        <v>1</v>
      </c>
      <c r="F25" s="469">
        <v>20570</v>
      </c>
      <c r="G25" s="470" t="s">
        <v>412</v>
      </c>
      <c r="H25" s="471">
        <v>44251</v>
      </c>
      <c r="I25" s="477" t="s">
        <v>166</v>
      </c>
      <c r="J25" s="473">
        <v>19602</v>
      </c>
      <c r="K25" s="474">
        <v>481</v>
      </c>
      <c r="L25" s="473">
        <v>19602</v>
      </c>
      <c r="M25" s="475"/>
      <c r="N25" s="119" t="s">
        <v>885</v>
      </c>
    </row>
    <row r="26" spans="1:15" ht="46.5" x14ac:dyDescent="0.35">
      <c r="A26" s="212" t="s">
        <v>1092</v>
      </c>
      <c r="B26" s="119"/>
      <c r="C26" s="194" t="s">
        <v>169</v>
      </c>
      <c r="D26" s="213" t="s">
        <v>981</v>
      </c>
      <c r="E26" s="468">
        <v>2</v>
      </c>
      <c r="F26" s="468">
        <v>400</v>
      </c>
      <c r="G26" s="470" t="s">
        <v>413</v>
      </c>
      <c r="H26" s="471">
        <v>44242</v>
      </c>
      <c r="I26" s="477" t="s">
        <v>149</v>
      </c>
      <c r="J26" s="473">
        <v>399.3</v>
      </c>
      <c r="K26" s="474">
        <v>382</v>
      </c>
      <c r="L26" s="473">
        <v>399.3</v>
      </c>
      <c r="M26" s="475"/>
      <c r="N26" s="119" t="s">
        <v>885</v>
      </c>
    </row>
    <row r="27" spans="1:15" ht="62" x14ac:dyDescent="0.35">
      <c r="A27" s="194" t="s">
        <v>170</v>
      </c>
      <c r="B27" s="119"/>
      <c r="C27" s="194" t="s">
        <v>170</v>
      </c>
      <c r="D27" s="213" t="s">
        <v>981</v>
      </c>
      <c r="E27" s="468">
        <v>1</v>
      </c>
      <c r="F27" s="469">
        <v>1815</v>
      </c>
      <c r="G27" s="470" t="s">
        <v>519</v>
      </c>
      <c r="H27" s="471">
        <v>44270</v>
      </c>
      <c r="I27" s="477" t="s">
        <v>149</v>
      </c>
      <c r="J27" s="473">
        <v>1813.79</v>
      </c>
      <c r="K27" s="474">
        <v>778</v>
      </c>
      <c r="L27" s="473">
        <v>1813.79</v>
      </c>
      <c r="M27" s="475"/>
      <c r="N27" s="119" t="s">
        <v>527</v>
      </c>
    </row>
    <row r="28" spans="1:15" ht="46.5" x14ac:dyDescent="0.35">
      <c r="A28" s="194" t="s">
        <v>1058</v>
      </c>
      <c r="B28" s="119"/>
      <c r="C28" s="194" t="s">
        <v>171</v>
      </c>
      <c r="D28" s="213" t="s">
        <v>981</v>
      </c>
      <c r="E28" s="468">
        <v>1</v>
      </c>
      <c r="F28" s="469">
        <v>2130</v>
      </c>
      <c r="G28" s="470" t="s">
        <v>528</v>
      </c>
      <c r="H28" s="471">
        <v>44284</v>
      </c>
      <c r="I28" s="477" t="s">
        <v>149</v>
      </c>
      <c r="J28" s="473">
        <v>2127.1799999999998</v>
      </c>
      <c r="K28" s="474">
        <v>958</v>
      </c>
      <c r="L28" s="473">
        <v>2127.1799999999998</v>
      </c>
      <c r="M28" s="475"/>
      <c r="N28" s="119" t="s">
        <v>755</v>
      </c>
    </row>
    <row r="29" spans="1:15" ht="63" customHeight="1" x14ac:dyDescent="0.35">
      <c r="A29" s="212" t="s">
        <v>1093</v>
      </c>
      <c r="B29" s="119"/>
      <c r="C29" s="194" t="s">
        <v>172</v>
      </c>
      <c r="D29" s="213" t="s">
        <v>981</v>
      </c>
      <c r="E29" s="468">
        <v>7</v>
      </c>
      <c r="F29" s="469">
        <v>10850</v>
      </c>
      <c r="G29" s="488" t="s">
        <v>414</v>
      </c>
      <c r="H29" s="256">
        <v>44252</v>
      </c>
      <c r="I29" s="489" t="s">
        <v>173</v>
      </c>
      <c r="J29" s="490">
        <f>ROUND(8911*1.21,2)</f>
        <v>10782.31</v>
      </c>
      <c r="K29" s="491">
        <v>467</v>
      </c>
      <c r="L29" s="490">
        <v>10782.31</v>
      </c>
      <c r="M29" s="492"/>
      <c r="N29" s="119" t="s">
        <v>885</v>
      </c>
    </row>
    <row r="30" spans="1:15" ht="60" customHeight="1" x14ac:dyDescent="0.35">
      <c r="A30" s="751" t="s">
        <v>1096</v>
      </c>
      <c r="B30" s="119"/>
      <c r="C30" s="194" t="s">
        <v>169</v>
      </c>
      <c r="D30" s="213" t="s">
        <v>981</v>
      </c>
      <c r="E30" s="468">
        <v>8</v>
      </c>
      <c r="F30" s="469">
        <v>9680</v>
      </c>
      <c r="G30" s="579" t="s">
        <v>529</v>
      </c>
      <c r="H30" s="736">
        <v>44274</v>
      </c>
      <c r="I30" s="738" t="s">
        <v>174</v>
      </c>
      <c r="J30" s="740">
        <f>25191.6</f>
        <v>25191.599999999999</v>
      </c>
      <c r="K30" s="478">
        <v>935</v>
      </c>
      <c r="L30" s="750">
        <v>25191.599999999999</v>
      </c>
      <c r="M30" s="740"/>
      <c r="N30" s="727" t="s">
        <v>530</v>
      </c>
    </row>
    <row r="31" spans="1:15" ht="15.5" x14ac:dyDescent="0.35">
      <c r="A31" s="751"/>
      <c r="B31" s="749"/>
      <c r="C31" s="729" t="s">
        <v>169</v>
      </c>
      <c r="D31" s="579" t="s">
        <v>981</v>
      </c>
      <c r="E31" s="731">
        <v>20</v>
      </c>
      <c r="F31" s="733">
        <v>24200</v>
      </c>
      <c r="G31" s="735"/>
      <c r="H31" s="737"/>
      <c r="I31" s="739"/>
      <c r="J31" s="741"/>
      <c r="K31" s="480"/>
      <c r="L31" s="745"/>
      <c r="M31" s="741"/>
      <c r="N31" s="728"/>
    </row>
    <row r="32" spans="1:15" ht="28" x14ac:dyDescent="0.35">
      <c r="A32" s="752"/>
      <c r="B32" s="747"/>
      <c r="C32" s="730"/>
      <c r="D32" s="580"/>
      <c r="E32" s="732"/>
      <c r="F32" s="734"/>
      <c r="G32" s="735"/>
      <c r="H32" s="482">
        <v>44292</v>
      </c>
      <c r="I32" s="483" t="s">
        <v>531</v>
      </c>
      <c r="J32" s="484">
        <f>ROUND(J30*0.21,2)</f>
        <v>5290.24</v>
      </c>
      <c r="K32" s="485">
        <v>955</v>
      </c>
      <c r="L32" s="486">
        <v>5290.24</v>
      </c>
      <c r="M32" s="484"/>
      <c r="N32" s="481" t="s">
        <v>532</v>
      </c>
    </row>
    <row r="33" spans="1:14" ht="33" customHeight="1" x14ac:dyDescent="0.35">
      <c r="A33" s="726" t="s">
        <v>975</v>
      </c>
      <c r="B33" s="726"/>
      <c r="C33" s="726"/>
      <c r="D33" s="726"/>
      <c r="E33" s="726"/>
      <c r="F33" s="726"/>
      <c r="G33" s="726"/>
      <c r="H33" s="726"/>
      <c r="I33" s="726"/>
      <c r="J33" s="726"/>
      <c r="K33" s="726"/>
      <c r="L33" s="726"/>
      <c r="M33" s="726"/>
      <c r="N33" s="726"/>
    </row>
    <row r="34" spans="1:14" ht="34.5" customHeight="1" x14ac:dyDescent="0.35">
      <c r="A34" s="174"/>
      <c r="B34" s="175"/>
      <c r="C34" s="175"/>
      <c r="D34" s="175"/>
      <c r="E34" s="175"/>
      <c r="F34" s="175"/>
      <c r="G34" s="175"/>
      <c r="H34" s="175"/>
      <c r="I34" s="175"/>
      <c r="J34" s="175"/>
      <c r="K34" s="175"/>
      <c r="L34" s="175"/>
      <c r="M34" s="175"/>
      <c r="N34" s="175"/>
    </row>
    <row r="42" spans="1:14" x14ac:dyDescent="0.3">
      <c r="N42" s="71"/>
    </row>
    <row r="43" spans="1:14" x14ac:dyDescent="0.3">
      <c r="N43" s="71"/>
    </row>
  </sheetData>
  <autoFilter ref="A7:P33" xr:uid="{21312749-070C-4982-8FB8-2A7FD95C7EE3}"/>
  <mergeCells count="35">
    <mergeCell ref="A2:C2"/>
    <mergeCell ref="D31:D32"/>
    <mergeCell ref="B31:B32"/>
    <mergeCell ref="L30:L31"/>
    <mergeCell ref="A30:A32"/>
    <mergeCell ref="A19:A20"/>
    <mergeCell ref="H19:H20"/>
    <mergeCell ref="I19:I20"/>
    <mergeCell ref="J19:J20"/>
    <mergeCell ref="A6:A7"/>
    <mergeCell ref="M19:M20"/>
    <mergeCell ref="B4:N4"/>
    <mergeCell ref="G5:N5"/>
    <mergeCell ref="B6:B7"/>
    <mergeCell ref="C6:C7"/>
    <mergeCell ref="E6:E7"/>
    <mergeCell ref="F6:F7"/>
    <mergeCell ref="G6:J6"/>
    <mergeCell ref="N6:N7"/>
    <mergeCell ref="K6:M6"/>
    <mergeCell ref="A5:F5"/>
    <mergeCell ref="A8:B8"/>
    <mergeCell ref="D6:D7"/>
    <mergeCell ref="L19:L20"/>
    <mergeCell ref="G19:G20"/>
    <mergeCell ref="A33:N33"/>
    <mergeCell ref="N30:N31"/>
    <mergeCell ref="C31:C32"/>
    <mergeCell ref="E31:E32"/>
    <mergeCell ref="F31:F32"/>
    <mergeCell ref="G30:G32"/>
    <mergeCell ref="H30:H31"/>
    <mergeCell ref="I30:I31"/>
    <mergeCell ref="J30:J31"/>
    <mergeCell ref="M30:M31"/>
  </mergeCells>
  <pageMargins left="0.7" right="0.7" top="0.75" bottom="0.75" header="0.3" footer="0.3"/>
  <pageSetup paperSize="9" scale="35"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E1B6-2B77-4E9F-B759-F6B13A534AE5}">
  <sheetPr>
    <tabColor rgb="FF00B0F0"/>
  </sheetPr>
  <dimension ref="A1:O30"/>
  <sheetViews>
    <sheetView view="pageBreakPreview" zoomScale="60" zoomScaleNormal="80" workbookViewId="0">
      <selection activeCell="K31" sqref="K31"/>
    </sheetView>
  </sheetViews>
  <sheetFormatPr defaultColWidth="9.1796875" defaultRowHeight="14" x14ac:dyDescent="0.35"/>
  <cols>
    <col min="1" max="1" width="14.26953125" style="11" customWidth="1"/>
    <col min="2" max="2" width="19.1796875" style="11" customWidth="1"/>
    <col min="3" max="3" width="35.453125" style="11" customWidth="1"/>
    <col min="4" max="4" width="27.1796875" style="11" customWidth="1"/>
    <col min="5" max="5" width="14.26953125" style="11" customWidth="1"/>
    <col min="6" max="6" width="16.81640625" style="11" customWidth="1"/>
    <col min="7" max="7" width="17.26953125" style="11" customWidth="1"/>
    <col min="8" max="8" width="14.1796875" style="11" customWidth="1"/>
    <col min="9" max="9" width="21" style="11" customWidth="1"/>
    <col min="10" max="11" width="14.26953125" style="11" customWidth="1"/>
    <col min="12" max="12" width="14.453125" style="11" customWidth="1"/>
    <col min="13" max="13" width="14.1796875" style="11" customWidth="1"/>
    <col min="14" max="14" width="32.81640625" style="11" customWidth="1"/>
    <col min="15" max="15" width="14.1796875" style="10" customWidth="1"/>
    <col min="16" max="18" width="10" style="11" bestFit="1" customWidth="1"/>
    <col min="19" max="16384" width="9.1796875" style="11"/>
  </cols>
  <sheetData>
    <row r="1" spans="1:15" ht="15.5" x14ac:dyDescent="0.35">
      <c r="B1" s="8"/>
      <c r="C1" s="8"/>
      <c r="D1" s="8"/>
      <c r="E1" s="8"/>
      <c r="F1" s="8"/>
      <c r="G1" s="8"/>
      <c r="H1" s="147"/>
      <c r="I1" s="147"/>
      <c r="J1" s="176"/>
      <c r="K1" s="176"/>
      <c r="L1" s="8"/>
      <c r="M1" s="8"/>
      <c r="N1" s="9"/>
      <c r="O1" s="11"/>
    </row>
    <row r="2" spans="1:15" ht="15.5" x14ac:dyDescent="0.35">
      <c r="A2" s="756" t="s">
        <v>232</v>
      </c>
      <c r="B2" s="756"/>
      <c r="C2" s="8"/>
      <c r="D2" s="8"/>
      <c r="E2" s="8"/>
      <c r="F2" s="8"/>
      <c r="G2" s="8"/>
      <c r="H2" s="147"/>
      <c r="I2" s="147"/>
      <c r="J2" s="176"/>
      <c r="K2" s="176"/>
      <c r="L2" s="8"/>
      <c r="M2" s="8"/>
      <c r="N2" s="9"/>
      <c r="O2" s="11"/>
    </row>
    <row r="3" spans="1:15" ht="15.5" x14ac:dyDescent="0.35">
      <c r="B3" s="8"/>
      <c r="C3" s="8"/>
      <c r="D3" s="8"/>
      <c r="E3" s="8"/>
      <c r="F3" s="8"/>
      <c r="G3" s="8"/>
      <c r="H3" s="147"/>
      <c r="I3" s="147"/>
      <c r="J3" s="176"/>
      <c r="K3" s="176"/>
      <c r="L3" s="8"/>
      <c r="M3" s="8"/>
      <c r="N3" s="9"/>
      <c r="O3" s="11"/>
    </row>
    <row r="4" spans="1:15" ht="17.5" x14ac:dyDescent="0.35">
      <c r="B4" s="589" t="s">
        <v>9</v>
      </c>
      <c r="C4" s="589"/>
      <c r="D4" s="589"/>
      <c r="E4" s="589"/>
      <c r="F4" s="590"/>
      <c r="G4" s="591"/>
      <c r="H4" s="591"/>
      <c r="I4" s="591"/>
      <c r="J4" s="591"/>
      <c r="K4" s="591"/>
      <c r="L4" s="591"/>
      <c r="M4" s="591"/>
      <c r="N4" s="592"/>
      <c r="O4" s="11"/>
    </row>
    <row r="5" spans="1:15" ht="15.75" customHeight="1" x14ac:dyDescent="0.35">
      <c r="A5" s="593" t="s">
        <v>48</v>
      </c>
      <c r="B5" s="594"/>
      <c r="C5" s="594"/>
      <c r="D5" s="594"/>
      <c r="E5" s="594"/>
      <c r="F5" s="595"/>
      <c r="G5" s="593" t="s">
        <v>9</v>
      </c>
      <c r="H5" s="594"/>
      <c r="I5" s="594"/>
      <c r="J5" s="594"/>
      <c r="K5" s="594"/>
      <c r="L5" s="594"/>
      <c r="M5" s="594"/>
      <c r="N5" s="595"/>
      <c r="O5" s="11"/>
    </row>
    <row r="6" spans="1:15" ht="15.75" customHeight="1" x14ac:dyDescent="0.35">
      <c r="A6" s="596" t="s">
        <v>950</v>
      </c>
      <c r="B6" s="596" t="s">
        <v>10</v>
      </c>
      <c r="C6" s="596" t="s">
        <v>233</v>
      </c>
      <c r="D6" s="596" t="s">
        <v>951</v>
      </c>
      <c r="E6" s="596" t="s">
        <v>11</v>
      </c>
      <c r="F6" s="596" t="s">
        <v>12</v>
      </c>
      <c r="G6" s="593" t="s">
        <v>946</v>
      </c>
      <c r="H6" s="594"/>
      <c r="I6" s="594"/>
      <c r="J6" s="595"/>
      <c r="K6" s="593" t="s">
        <v>948</v>
      </c>
      <c r="L6" s="594"/>
      <c r="M6" s="595"/>
      <c r="N6" s="604" t="s">
        <v>947</v>
      </c>
      <c r="O6" s="11"/>
    </row>
    <row r="7" spans="1:15" ht="30" x14ac:dyDescent="0.35">
      <c r="A7" s="597"/>
      <c r="B7" s="597"/>
      <c r="C7" s="597"/>
      <c r="D7" s="597"/>
      <c r="E7" s="597"/>
      <c r="F7" s="597"/>
      <c r="G7" s="12" t="s">
        <v>14</v>
      </c>
      <c r="H7" s="12" t="s">
        <v>15</v>
      </c>
      <c r="I7" s="12" t="s">
        <v>16</v>
      </c>
      <c r="J7" s="12" t="s">
        <v>17</v>
      </c>
      <c r="K7" s="12" t="s">
        <v>952</v>
      </c>
      <c r="L7" s="12" t="s">
        <v>953</v>
      </c>
      <c r="M7" s="12" t="s">
        <v>954</v>
      </c>
      <c r="N7" s="597"/>
      <c r="O7" s="11"/>
    </row>
    <row r="8" spans="1:15" ht="15" x14ac:dyDescent="0.35">
      <c r="A8" s="575" t="s">
        <v>18</v>
      </c>
      <c r="B8" s="576"/>
      <c r="C8" s="29" t="s">
        <v>19</v>
      </c>
      <c r="D8" s="29"/>
      <c r="E8" s="29"/>
      <c r="F8" s="101">
        <f>SUM(F9:F23)</f>
        <v>252329</v>
      </c>
      <c r="G8" s="29" t="s">
        <v>19</v>
      </c>
      <c r="H8" s="29" t="s">
        <v>19</v>
      </c>
      <c r="I8" s="29" t="s">
        <v>19</v>
      </c>
      <c r="J8" s="101">
        <f>J9+J10+J11+J12+J13+J14+J16+J17+J18+J20+J21+J22+J19</f>
        <v>227293.9</v>
      </c>
      <c r="K8" s="495"/>
      <c r="L8" s="101">
        <f>SUM(L9:L23)</f>
        <v>227293.9</v>
      </c>
      <c r="M8" s="495"/>
      <c r="N8" s="29" t="s">
        <v>19</v>
      </c>
      <c r="O8" s="37"/>
    </row>
    <row r="9" spans="1:15" ht="46.5" x14ac:dyDescent="0.35">
      <c r="A9" s="213" t="s">
        <v>1097</v>
      </c>
      <c r="B9" s="119"/>
      <c r="C9" s="213" t="s">
        <v>234</v>
      </c>
      <c r="D9" s="213" t="s">
        <v>981</v>
      </c>
      <c r="E9" s="215">
        <v>2</v>
      </c>
      <c r="F9" s="316">
        <v>3291</v>
      </c>
      <c r="G9" s="215" t="s">
        <v>350</v>
      </c>
      <c r="H9" s="215" t="s">
        <v>351</v>
      </c>
      <c r="I9" s="215" t="s">
        <v>352</v>
      </c>
      <c r="J9" s="220">
        <v>3242.8</v>
      </c>
      <c r="K9" s="220">
        <v>614</v>
      </c>
      <c r="L9" s="215">
        <v>3242.8</v>
      </c>
      <c r="M9" s="215"/>
      <c r="N9" s="213" t="s">
        <v>809</v>
      </c>
      <c r="O9" s="11"/>
    </row>
    <row r="10" spans="1:15" ht="46.5" x14ac:dyDescent="0.35">
      <c r="A10" s="106"/>
      <c r="B10" s="39"/>
      <c r="C10" s="111" t="s">
        <v>235</v>
      </c>
      <c r="D10" s="111" t="s">
        <v>981</v>
      </c>
      <c r="E10" s="137">
        <v>1</v>
      </c>
      <c r="F10" s="157">
        <v>2868</v>
      </c>
      <c r="G10" s="137" t="s">
        <v>353</v>
      </c>
      <c r="H10" s="137" t="s">
        <v>354</v>
      </c>
      <c r="I10" s="137" t="s">
        <v>355</v>
      </c>
      <c r="J10" s="67">
        <v>6158.9</v>
      </c>
      <c r="K10" s="67">
        <v>74</v>
      </c>
      <c r="L10" s="137">
        <v>6158.9</v>
      </c>
      <c r="M10" s="67"/>
      <c r="N10" s="111" t="s">
        <v>810</v>
      </c>
      <c r="O10" s="11"/>
    </row>
    <row r="11" spans="1:15" ht="46.5" x14ac:dyDescent="0.35">
      <c r="A11" s="324" t="s">
        <v>1101</v>
      </c>
      <c r="B11" s="119"/>
      <c r="C11" s="214" t="s">
        <v>236</v>
      </c>
      <c r="D11" s="213" t="s">
        <v>981</v>
      </c>
      <c r="E11" s="215">
        <v>20</v>
      </c>
      <c r="F11" s="316">
        <v>48400</v>
      </c>
      <c r="G11" s="493" t="s">
        <v>737</v>
      </c>
      <c r="H11" s="493" t="s">
        <v>657</v>
      </c>
      <c r="I11" s="493" t="s">
        <v>738</v>
      </c>
      <c r="J11" s="493">
        <v>53215.8</v>
      </c>
      <c r="K11" s="493">
        <v>899</v>
      </c>
      <c r="L11" s="493">
        <v>53215.8</v>
      </c>
      <c r="M11" s="493"/>
      <c r="N11" s="213" t="s">
        <v>811</v>
      </c>
      <c r="O11" s="11"/>
    </row>
    <row r="12" spans="1:15" ht="56" x14ac:dyDescent="0.35">
      <c r="A12" s="324" t="s">
        <v>1103</v>
      </c>
      <c r="B12" s="119"/>
      <c r="C12" s="214" t="s">
        <v>237</v>
      </c>
      <c r="D12" s="213" t="s">
        <v>981</v>
      </c>
      <c r="E12" s="215">
        <v>10</v>
      </c>
      <c r="F12" s="316">
        <v>60500</v>
      </c>
      <c r="G12" s="215" t="s">
        <v>812</v>
      </c>
      <c r="H12" s="215" t="s">
        <v>794</v>
      </c>
      <c r="I12" s="215" t="s">
        <v>813</v>
      </c>
      <c r="J12" s="220">
        <v>60487.9</v>
      </c>
      <c r="K12" s="220">
        <v>1038</v>
      </c>
      <c r="L12" s="215">
        <v>60487.9</v>
      </c>
      <c r="M12" s="220"/>
      <c r="N12" s="213" t="s">
        <v>814</v>
      </c>
      <c r="O12" s="11"/>
    </row>
    <row r="13" spans="1:15" ht="46.5" x14ac:dyDescent="0.35">
      <c r="A13" s="214" t="s">
        <v>154</v>
      </c>
      <c r="B13" s="119"/>
      <c r="C13" s="214" t="s">
        <v>154</v>
      </c>
      <c r="D13" s="213" t="s">
        <v>981</v>
      </c>
      <c r="E13" s="215">
        <v>10</v>
      </c>
      <c r="F13" s="316">
        <v>726</v>
      </c>
      <c r="G13" s="215">
        <v>15854</v>
      </c>
      <c r="H13" s="215" t="s">
        <v>351</v>
      </c>
      <c r="I13" s="215" t="s">
        <v>356</v>
      </c>
      <c r="J13" s="215">
        <v>474.32</v>
      </c>
      <c r="K13" s="215">
        <v>558</v>
      </c>
      <c r="L13" s="215">
        <v>474.32</v>
      </c>
      <c r="M13" s="215"/>
      <c r="N13" s="213" t="s">
        <v>815</v>
      </c>
      <c r="O13" s="11"/>
    </row>
    <row r="14" spans="1:15" ht="62" x14ac:dyDescent="0.35">
      <c r="A14" s="214" t="s">
        <v>133</v>
      </c>
      <c r="B14" s="119"/>
      <c r="C14" s="214" t="s">
        <v>238</v>
      </c>
      <c r="D14" s="213" t="s">
        <v>981</v>
      </c>
      <c r="E14" s="215">
        <v>20</v>
      </c>
      <c r="F14" s="316">
        <v>12100</v>
      </c>
      <c r="G14" s="215">
        <v>286507</v>
      </c>
      <c r="H14" s="215" t="s">
        <v>510</v>
      </c>
      <c r="I14" s="215" t="s">
        <v>540</v>
      </c>
      <c r="J14" s="220">
        <v>18150</v>
      </c>
      <c r="K14" s="220">
        <v>670</v>
      </c>
      <c r="L14" s="215">
        <v>18150</v>
      </c>
      <c r="M14" s="219"/>
      <c r="N14" s="213" t="s">
        <v>816</v>
      </c>
      <c r="O14" s="11"/>
    </row>
    <row r="15" spans="1:15" ht="15.5" x14ac:dyDescent="0.35">
      <c r="A15" s="397"/>
      <c r="B15" s="108"/>
      <c r="C15" s="549" t="s">
        <v>239</v>
      </c>
      <c r="D15" s="332" t="s">
        <v>981</v>
      </c>
      <c r="E15" s="197">
        <v>10</v>
      </c>
      <c r="F15" s="550">
        <v>7260</v>
      </c>
      <c r="G15" s="757"/>
      <c r="H15" s="757"/>
      <c r="I15" s="757"/>
      <c r="J15" s="757"/>
      <c r="K15" s="757"/>
      <c r="L15" s="757"/>
      <c r="M15" s="757"/>
      <c r="N15" s="757"/>
      <c r="O15" s="11"/>
    </row>
    <row r="16" spans="1:15" ht="46.5" x14ac:dyDescent="0.35">
      <c r="A16" s="324" t="s">
        <v>1102</v>
      </c>
      <c r="B16" s="119"/>
      <c r="C16" s="214" t="s">
        <v>240</v>
      </c>
      <c r="D16" s="213" t="s">
        <v>981</v>
      </c>
      <c r="E16" s="215">
        <v>50</v>
      </c>
      <c r="F16" s="316">
        <v>12100</v>
      </c>
      <c r="G16" s="215" t="s">
        <v>737</v>
      </c>
      <c r="H16" s="215" t="s">
        <v>657</v>
      </c>
      <c r="I16" s="215" t="s">
        <v>359</v>
      </c>
      <c r="J16" s="215">
        <v>13249.5</v>
      </c>
      <c r="K16" s="222">
        <v>899</v>
      </c>
      <c r="L16" s="215">
        <v>13249.5</v>
      </c>
      <c r="M16" s="215"/>
      <c r="N16" s="213" t="s">
        <v>817</v>
      </c>
      <c r="O16" s="11"/>
    </row>
    <row r="17" spans="1:15" ht="62" x14ac:dyDescent="0.35">
      <c r="A17" s="224" t="s">
        <v>1099</v>
      </c>
      <c r="B17" s="119"/>
      <c r="C17" s="214" t="s">
        <v>1098</v>
      </c>
      <c r="D17" s="213" t="s">
        <v>981</v>
      </c>
      <c r="E17" s="215">
        <v>2</v>
      </c>
      <c r="F17" s="316">
        <v>7260</v>
      </c>
      <c r="G17" s="494" t="s">
        <v>541</v>
      </c>
      <c r="H17" s="215" t="s">
        <v>542</v>
      </c>
      <c r="I17" s="215" t="s">
        <v>157</v>
      </c>
      <c r="J17" s="220">
        <v>10285</v>
      </c>
      <c r="K17" s="222">
        <v>570</v>
      </c>
      <c r="L17" s="215">
        <v>10285</v>
      </c>
      <c r="M17" s="220"/>
      <c r="N17" s="213" t="s">
        <v>818</v>
      </c>
      <c r="O17" s="11"/>
    </row>
    <row r="18" spans="1:15" ht="46.5" x14ac:dyDescent="0.35">
      <c r="A18" s="213" t="s">
        <v>241</v>
      </c>
      <c r="B18" s="119"/>
      <c r="C18" s="214" t="s">
        <v>241</v>
      </c>
      <c r="D18" s="213" t="s">
        <v>981</v>
      </c>
      <c r="E18" s="215">
        <v>10</v>
      </c>
      <c r="F18" s="316">
        <v>968</v>
      </c>
      <c r="G18" s="215" t="s">
        <v>357</v>
      </c>
      <c r="H18" s="215" t="s">
        <v>358</v>
      </c>
      <c r="I18" s="215" t="s">
        <v>359</v>
      </c>
      <c r="J18" s="220">
        <v>1064.8</v>
      </c>
      <c r="K18" s="222">
        <v>568</v>
      </c>
      <c r="L18" s="215">
        <v>1064.8</v>
      </c>
      <c r="M18" s="220"/>
      <c r="N18" s="213" t="s">
        <v>819</v>
      </c>
      <c r="O18" s="11"/>
    </row>
    <row r="19" spans="1:15" ht="46.5" x14ac:dyDescent="0.35">
      <c r="A19" s="213" t="s">
        <v>164</v>
      </c>
      <c r="B19" s="119"/>
      <c r="C19" s="214" t="s">
        <v>242</v>
      </c>
      <c r="D19" s="213" t="s">
        <v>981</v>
      </c>
      <c r="E19" s="215">
        <v>2</v>
      </c>
      <c r="F19" s="316">
        <v>7744</v>
      </c>
      <c r="G19" s="215">
        <v>20882</v>
      </c>
      <c r="H19" s="256">
        <v>44270</v>
      </c>
      <c r="I19" s="215" t="s">
        <v>287</v>
      </c>
      <c r="J19" s="220">
        <v>4719</v>
      </c>
      <c r="K19" s="222">
        <v>669</v>
      </c>
      <c r="L19" s="215">
        <v>4719</v>
      </c>
      <c r="M19" s="220"/>
      <c r="N19" s="213" t="s">
        <v>820</v>
      </c>
      <c r="O19" s="11"/>
    </row>
    <row r="20" spans="1:15" ht="46.5" x14ac:dyDescent="0.35">
      <c r="A20" s="224" t="s">
        <v>243</v>
      </c>
      <c r="B20" s="119"/>
      <c r="C20" s="214" t="s">
        <v>243</v>
      </c>
      <c r="D20" s="213" t="s">
        <v>981</v>
      </c>
      <c r="E20" s="215">
        <v>1</v>
      </c>
      <c r="F20" s="316">
        <v>48400</v>
      </c>
      <c r="G20" s="215" t="s">
        <v>357</v>
      </c>
      <c r="H20" s="256">
        <v>44260</v>
      </c>
      <c r="I20" s="215" t="s">
        <v>359</v>
      </c>
      <c r="J20" s="220">
        <v>48279</v>
      </c>
      <c r="K20" s="222">
        <v>568</v>
      </c>
      <c r="L20" s="215">
        <v>48279</v>
      </c>
      <c r="M20" s="220"/>
      <c r="N20" s="213" t="s">
        <v>821</v>
      </c>
      <c r="O20" s="11"/>
    </row>
    <row r="21" spans="1:15" ht="46.5" x14ac:dyDescent="0.35">
      <c r="A21" s="214" t="s">
        <v>24</v>
      </c>
      <c r="B21" s="119"/>
      <c r="C21" s="214" t="s">
        <v>24</v>
      </c>
      <c r="D21" s="213" t="s">
        <v>981</v>
      </c>
      <c r="E21" s="215">
        <v>10</v>
      </c>
      <c r="F21" s="316">
        <v>2057</v>
      </c>
      <c r="G21" s="215">
        <v>15854</v>
      </c>
      <c r="H21" s="215" t="s">
        <v>351</v>
      </c>
      <c r="I21" s="215" t="s">
        <v>356</v>
      </c>
      <c r="J21" s="215">
        <v>283.38</v>
      </c>
      <c r="K21" s="222">
        <v>558</v>
      </c>
      <c r="L21" s="215">
        <v>283.38</v>
      </c>
      <c r="M21" s="215"/>
      <c r="N21" s="213" t="s">
        <v>822</v>
      </c>
      <c r="O21" s="11"/>
    </row>
    <row r="22" spans="1:15" ht="46.5" x14ac:dyDescent="0.35">
      <c r="A22" s="213" t="s">
        <v>1100</v>
      </c>
      <c r="B22" s="119"/>
      <c r="C22" s="213" t="s">
        <v>47</v>
      </c>
      <c r="D22" s="213" t="s">
        <v>981</v>
      </c>
      <c r="E22" s="215">
        <v>5</v>
      </c>
      <c r="F22" s="316">
        <v>7500</v>
      </c>
      <c r="G22" s="215">
        <v>20882</v>
      </c>
      <c r="H22" s="215" t="s">
        <v>543</v>
      </c>
      <c r="I22" s="215" t="s">
        <v>287</v>
      </c>
      <c r="J22" s="215">
        <v>7683.5</v>
      </c>
      <c r="K22" s="222">
        <v>669</v>
      </c>
      <c r="L22" s="215">
        <v>7683.5</v>
      </c>
      <c r="M22" s="220"/>
      <c r="N22" s="213" t="s">
        <v>823</v>
      </c>
      <c r="O22" s="11"/>
    </row>
    <row r="23" spans="1:15" ht="15.5" x14ac:dyDescent="0.35">
      <c r="A23" s="397"/>
      <c r="B23" s="108"/>
      <c r="C23" s="549" t="s">
        <v>244</v>
      </c>
      <c r="D23" s="332" t="s">
        <v>981</v>
      </c>
      <c r="E23" s="197">
        <v>1</v>
      </c>
      <c r="F23" s="550">
        <v>31155</v>
      </c>
      <c r="G23" s="758"/>
      <c r="H23" s="758"/>
      <c r="I23" s="758"/>
      <c r="J23" s="758"/>
      <c r="K23" s="758"/>
      <c r="L23" s="758"/>
      <c r="M23" s="758"/>
      <c r="N23" s="758"/>
      <c r="O23" s="11"/>
    </row>
    <row r="24" spans="1:15" ht="15.5" x14ac:dyDescent="0.35">
      <c r="B24" s="496"/>
      <c r="C24" s="73"/>
      <c r="D24" s="73"/>
      <c r="E24" s="74"/>
      <c r="F24" s="75"/>
      <c r="G24" s="497"/>
      <c r="H24" s="497"/>
      <c r="I24" s="497"/>
      <c r="J24" s="497"/>
      <c r="K24" s="497"/>
      <c r="L24" s="497"/>
      <c r="M24" s="497"/>
      <c r="N24" s="498"/>
      <c r="O24" s="11"/>
    </row>
    <row r="25" spans="1:15" ht="33.75" customHeight="1" x14ac:dyDescent="0.35">
      <c r="A25" s="719" t="s">
        <v>962</v>
      </c>
      <c r="B25" s="719"/>
      <c r="C25" s="719"/>
      <c r="D25" s="719"/>
      <c r="E25" s="719"/>
      <c r="F25" s="719"/>
      <c r="G25" s="719"/>
      <c r="H25" s="719"/>
      <c r="I25" s="719"/>
      <c r="J25" s="719"/>
      <c r="K25" s="719"/>
      <c r="L25" s="719"/>
      <c r="M25" s="719"/>
      <c r="N25" s="720"/>
      <c r="O25" s="11"/>
    </row>
    <row r="29" spans="1:15" x14ac:dyDescent="0.35">
      <c r="O29" s="11"/>
    </row>
    <row r="30" spans="1:15" x14ac:dyDescent="0.35">
      <c r="O30" s="11"/>
    </row>
  </sheetData>
  <autoFilter ref="A7:O23" xr:uid="{C05CECDC-0BF2-4E8A-9366-5981A2CE6BB9}"/>
  <mergeCells count="17">
    <mergeCell ref="A5:F5"/>
    <mergeCell ref="K6:M6"/>
    <mergeCell ref="D6:D7"/>
    <mergeCell ref="A25:N25"/>
    <mergeCell ref="A6:A7"/>
    <mergeCell ref="A2:B2"/>
    <mergeCell ref="A8:B8"/>
    <mergeCell ref="G15:N15"/>
    <mergeCell ref="G23:N23"/>
    <mergeCell ref="B4:N4"/>
    <mergeCell ref="G5:N5"/>
    <mergeCell ref="B6:B7"/>
    <mergeCell ref="C6:C7"/>
    <mergeCell ref="E6:E7"/>
    <mergeCell ref="F6:F7"/>
    <mergeCell ref="G6:J6"/>
    <mergeCell ref="N6:N7"/>
  </mergeCells>
  <pageMargins left="0.7" right="0.7" top="0.75" bottom="0.75" header="0.3" footer="0.3"/>
  <pageSetup paperSize="9" scale="32"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N28"/>
  <sheetViews>
    <sheetView view="pageBreakPreview" topLeftCell="A16" zoomScale="50" zoomScaleNormal="80" zoomScaleSheetLayoutView="50" workbookViewId="0">
      <selection activeCell="O1" sqref="O1:O1048576"/>
    </sheetView>
  </sheetViews>
  <sheetFormatPr defaultColWidth="9.1796875" defaultRowHeight="14" x14ac:dyDescent="0.35"/>
  <cols>
    <col min="1" max="1" width="20" style="11" customWidth="1"/>
    <col min="2" max="2" width="20.81640625" style="11" customWidth="1"/>
    <col min="3" max="3" width="35.54296875" style="11" customWidth="1"/>
    <col min="4" max="4" width="20.81640625" style="11" customWidth="1"/>
    <col min="5" max="5" width="14.26953125" style="20" customWidth="1"/>
    <col min="6" max="6" width="16.81640625" style="11" customWidth="1"/>
    <col min="7" max="8" width="14.1796875" style="11" customWidth="1"/>
    <col min="9" max="9" width="21" style="11" customWidth="1"/>
    <col min="10" max="10" width="14.26953125" style="11" customWidth="1"/>
    <col min="11" max="11" width="17.81640625" style="11" customWidth="1"/>
    <col min="12" max="12" width="17.453125" style="11" customWidth="1"/>
    <col min="13" max="13" width="14.1796875" style="11" customWidth="1"/>
    <col min="14" max="14" width="32.81640625" style="11" customWidth="1"/>
    <col min="15" max="16" width="10" style="11" bestFit="1" customWidth="1"/>
    <col min="17" max="16384" width="9.1796875" style="11"/>
  </cols>
  <sheetData>
    <row r="1" spans="1:14" ht="15.5" x14ac:dyDescent="0.35">
      <c r="B1" s="8"/>
      <c r="C1" s="8"/>
      <c r="D1" s="8"/>
      <c r="E1" s="36"/>
      <c r="F1" s="8"/>
      <c r="G1" s="8"/>
      <c r="H1" s="147"/>
      <c r="I1" s="147"/>
      <c r="J1" s="147"/>
      <c r="K1" s="147"/>
      <c r="L1" s="147"/>
      <c r="M1" s="147"/>
      <c r="N1" s="177"/>
    </row>
    <row r="2" spans="1:14" ht="27.75" customHeight="1" x14ac:dyDescent="0.35">
      <c r="A2" s="760" t="s">
        <v>198</v>
      </c>
      <c r="B2" s="760"/>
      <c r="C2" s="760"/>
      <c r="D2" s="8"/>
      <c r="E2" s="36"/>
      <c r="F2" s="8"/>
      <c r="G2" s="8"/>
      <c r="H2" s="147"/>
      <c r="I2" s="147"/>
      <c r="J2" s="176"/>
      <c r="K2" s="176"/>
      <c r="L2" s="147"/>
      <c r="M2" s="147"/>
      <c r="N2" s="177"/>
    </row>
    <row r="3" spans="1:14" ht="15.5" x14ac:dyDescent="0.35">
      <c r="B3" s="8"/>
      <c r="C3" s="8"/>
      <c r="D3" s="8"/>
      <c r="E3" s="36"/>
      <c r="F3" s="8"/>
      <c r="G3" s="8"/>
      <c r="H3" s="176"/>
      <c r="I3" s="147"/>
      <c r="J3" s="147"/>
      <c r="K3" s="147"/>
      <c r="L3" s="147"/>
      <c r="M3" s="147"/>
      <c r="N3" s="177"/>
    </row>
    <row r="4" spans="1:14" ht="17.5" x14ac:dyDescent="0.35">
      <c r="B4" s="589" t="s">
        <v>9</v>
      </c>
      <c r="C4" s="589"/>
      <c r="D4" s="589"/>
      <c r="E4" s="589"/>
      <c r="F4" s="590"/>
      <c r="G4" s="591"/>
      <c r="H4" s="591"/>
      <c r="I4" s="591"/>
      <c r="J4" s="591"/>
      <c r="K4" s="591"/>
      <c r="L4" s="591"/>
      <c r="M4" s="591"/>
      <c r="N4" s="592"/>
    </row>
    <row r="5" spans="1:14" ht="15" x14ac:dyDescent="0.35">
      <c r="A5" s="600" t="s">
        <v>48</v>
      </c>
      <c r="B5" s="600"/>
      <c r="C5" s="600"/>
      <c r="D5" s="600"/>
      <c r="E5" s="600"/>
      <c r="F5" s="600"/>
      <c r="G5" s="593" t="s">
        <v>9</v>
      </c>
      <c r="H5" s="594"/>
      <c r="I5" s="594"/>
      <c r="J5" s="594"/>
      <c r="K5" s="594"/>
      <c r="L5" s="594"/>
      <c r="M5" s="594"/>
      <c r="N5" s="595"/>
    </row>
    <row r="6" spans="1:14" ht="15.75" customHeight="1" x14ac:dyDescent="0.35">
      <c r="A6" s="596" t="s">
        <v>950</v>
      </c>
      <c r="B6" s="596" t="s">
        <v>10</v>
      </c>
      <c r="C6" s="596" t="s">
        <v>46</v>
      </c>
      <c r="D6" s="596" t="s">
        <v>951</v>
      </c>
      <c r="E6" s="596" t="s">
        <v>11</v>
      </c>
      <c r="F6" s="596" t="s">
        <v>12</v>
      </c>
      <c r="G6" s="593" t="s">
        <v>946</v>
      </c>
      <c r="H6" s="594"/>
      <c r="I6" s="594"/>
      <c r="J6" s="595"/>
      <c r="K6" s="593" t="s">
        <v>948</v>
      </c>
      <c r="L6" s="594"/>
      <c r="M6" s="595"/>
      <c r="N6" s="604" t="s">
        <v>947</v>
      </c>
    </row>
    <row r="7" spans="1:14" ht="39.75" customHeight="1" x14ac:dyDescent="0.35">
      <c r="A7" s="597"/>
      <c r="B7" s="597"/>
      <c r="C7" s="597"/>
      <c r="D7" s="597"/>
      <c r="E7" s="597"/>
      <c r="F7" s="597"/>
      <c r="G7" s="12" t="s">
        <v>14</v>
      </c>
      <c r="H7" s="12" t="s">
        <v>15</v>
      </c>
      <c r="I7" s="12" t="s">
        <v>16</v>
      </c>
      <c r="J7" s="12" t="s">
        <v>17</v>
      </c>
      <c r="K7" s="12" t="s">
        <v>952</v>
      </c>
      <c r="L7" s="12" t="s">
        <v>953</v>
      </c>
      <c r="M7" s="12" t="s">
        <v>954</v>
      </c>
      <c r="N7" s="597"/>
    </row>
    <row r="8" spans="1:14" ht="15" x14ac:dyDescent="0.35">
      <c r="A8" s="575" t="s">
        <v>18</v>
      </c>
      <c r="B8" s="576"/>
      <c r="C8" s="14"/>
      <c r="D8" s="14"/>
      <c r="E8" s="14"/>
      <c r="F8" s="32">
        <f>SUM(F9:F24)</f>
        <v>107775.82</v>
      </c>
      <c r="G8" s="14"/>
      <c r="H8" s="14"/>
      <c r="I8" s="14"/>
      <c r="J8" s="32">
        <f>SUM(J9:J24)</f>
        <v>106770.24000000001</v>
      </c>
      <c r="K8" s="14"/>
      <c r="L8" s="32">
        <f>SUM(L9:L24)</f>
        <v>106574.52</v>
      </c>
      <c r="M8" s="14"/>
      <c r="N8" s="14"/>
    </row>
    <row r="9" spans="1:14" ht="46.5" x14ac:dyDescent="0.35">
      <c r="A9" s="324" t="s">
        <v>1107</v>
      </c>
      <c r="B9" s="213" t="s">
        <v>199</v>
      </c>
      <c r="C9" s="214" t="s">
        <v>200</v>
      </c>
      <c r="D9" s="213" t="s">
        <v>981</v>
      </c>
      <c r="E9" s="215">
        <v>10</v>
      </c>
      <c r="F9" s="216">
        <v>19517.3</v>
      </c>
      <c r="G9" s="213" t="s">
        <v>415</v>
      </c>
      <c r="H9" s="213" t="s">
        <v>351</v>
      </c>
      <c r="I9" s="215" t="s">
        <v>201</v>
      </c>
      <c r="J9" s="217">
        <v>19360</v>
      </c>
      <c r="K9" s="218">
        <v>210818</v>
      </c>
      <c r="L9" s="219">
        <v>19360</v>
      </c>
      <c r="M9" s="220"/>
      <c r="N9" s="213" t="s">
        <v>208</v>
      </c>
    </row>
    <row r="10" spans="1:14" ht="46.5" x14ac:dyDescent="0.35">
      <c r="A10" s="324" t="s">
        <v>1108</v>
      </c>
      <c r="B10" s="213" t="s">
        <v>199</v>
      </c>
      <c r="C10" s="221" t="s">
        <v>202</v>
      </c>
      <c r="D10" s="213" t="s">
        <v>981</v>
      </c>
      <c r="E10" s="215">
        <v>10</v>
      </c>
      <c r="F10" s="216">
        <v>5566</v>
      </c>
      <c r="G10" s="213" t="s">
        <v>415</v>
      </c>
      <c r="H10" s="213" t="s">
        <v>351</v>
      </c>
      <c r="I10" s="215" t="s">
        <v>201</v>
      </c>
      <c r="J10" s="217">
        <v>5566</v>
      </c>
      <c r="K10" s="222">
        <v>210818</v>
      </c>
      <c r="L10" s="219">
        <v>5566</v>
      </c>
      <c r="M10" s="220"/>
      <c r="N10" s="213" t="s">
        <v>208</v>
      </c>
    </row>
    <row r="11" spans="1:14" ht="46.5" x14ac:dyDescent="0.35">
      <c r="A11" s="324" t="s">
        <v>1102</v>
      </c>
      <c r="B11" s="213" t="s">
        <v>199</v>
      </c>
      <c r="C11" s="213" t="s">
        <v>203</v>
      </c>
      <c r="D11" s="213" t="s">
        <v>981</v>
      </c>
      <c r="E11" s="215">
        <v>20</v>
      </c>
      <c r="F11" s="216">
        <v>5324</v>
      </c>
      <c r="G11" s="213" t="s">
        <v>415</v>
      </c>
      <c r="H11" s="213" t="s">
        <v>351</v>
      </c>
      <c r="I11" s="215" t="s">
        <v>201</v>
      </c>
      <c r="J11" s="217">
        <v>5324</v>
      </c>
      <c r="K11" s="222">
        <v>210818</v>
      </c>
      <c r="L11" s="219">
        <v>5324</v>
      </c>
      <c r="M11" s="220"/>
      <c r="N11" s="213" t="s">
        <v>208</v>
      </c>
    </row>
    <row r="12" spans="1:14" ht="80" x14ac:dyDescent="0.35">
      <c r="A12" s="213" t="s">
        <v>1109</v>
      </c>
      <c r="B12" s="213" t="s">
        <v>204</v>
      </c>
      <c r="C12" s="223" t="s">
        <v>205</v>
      </c>
      <c r="D12" s="213" t="s">
        <v>981</v>
      </c>
      <c r="E12" s="215">
        <v>1</v>
      </c>
      <c r="F12" s="216">
        <v>2499</v>
      </c>
      <c r="G12" s="213" t="s">
        <v>416</v>
      </c>
      <c r="H12" s="213" t="s">
        <v>387</v>
      </c>
      <c r="I12" s="213" t="s">
        <v>417</v>
      </c>
      <c r="J12" s="217">
        <v>2499</v>
      </c>
      <c r="K12" s="222">
        <v>210821</v>
      </c>
      <c r="L12" s="219">
        <v>2499</v>
      </c>
      <c r="M12" s="220"/>
      <c r="N12" s="213" t="s">
        <v>208</v>
      </c>
    </row>
    <row r="13" spans="1:14" ht="46.5" x14ac:dyDescent="0.35">
      <c r="A13" s="198" t="s">
        <v>1105</v>
      </c>
      <c r="B13" s="198" t="s">
        <v>204</v>
      </c>
      <c r="C13" s="199" t="s">
        <v>206</v>
      </c>
      <c r="D13" s="198" t="s">
        <v>981</v>
      </c>
      <c r="E13" s="46">
        <v>1</v>
      </c>
      <c r="F13" s="205">
        <v>5150</v>
      </c>
      <c r="G13" s="198" t="s">
        <v>207</v>
      </c>
      <c r="H13" s="198" t="s">
        <v>108</v>
      </c>
      <c r="I13" s="46" t="s">
        <v>201</v>
      </c>
      <c r="J13" s="206">
        <v>5150</v>
      </c>
      <c r="K13" s="201">
        <v>210655</v>
      </c>
      <c r="L13" s="205">
        <v>5150</v>
      </c>
      <c r="M13" s="200"/>
      <c r="N13" s="45" t="s">
        <v>998</v>
      </c>
    </row>
    <row r="14" spans="1:14" ht="77.5" x14ac:dyDescent="0.35">
      <c r="A14" s="202"/>
      <c r="B14" s="111" t="s">
        <v>209</v>
      </c>
      <c r="C14" s="204" t="s">
        <v>210</v>
      </c>
      <c r="D14" s="111" t="s">
        <v>981</v>
      </c>
      <c r="E14" s="137">
        <v>5</v>
      </c>
      <c r="F14" s="81">
        <v>23812.799999999999</v>
      </c>
      <c r="G14" s="111" t="s">
        <v>211</v>
      </c>
      <c r="H14" s="111" t="s">
        <v>483</v>
      </c>
      <c r="I14" s="137" t="s">
        <v>201</v>
      </c>
      <c r="J14" s="155">
        <v>23812.799999999999</v>
      </c>
      <c r="K14" s="159">
        <v>200427</v>
      </c>
      <c r="L14" s="81">
        <v>23812.799999999999</v>
      </c>
      <c r="M14" s="67"/>
      <c r="N14" s="211" t="s">
        <v>418</v>
      </c>
    </row>
    <row r="15" spans="1:14" ht="15.5" x14ac:dyDescent="0.35">
      <c r="B15" s="78" t="s">
        <v>209</v>
      </c>
      <c r="C15" s="549" t="s">
        <v>212</v>
      </c>
      <c r="D15" s="332" t="s">
        <v>981</v>
      </c>
      <c r="E15" s="197">
        <v>2</v>
      </c>
      <c r="F15" s="551">
        <v>2420</v>
      </c>
      <c r="G15" s="78"/>
      <c r="H15" s="78"/>
      <c r="I15" s="197"/>
      <c r="J15" s="225"/>
      <c r="K15" s="552"/>
      <c r="L15" s="551"/>
      <c r="M15" s="553"/>
      <c r="N15" s="78"/>
    </row>
    <row r="16" spans="1:14" ht="46.5" x14ac:dyDescent="0.35">
      <c r="A16" s="202"/>
      <c r="B16" s="111" t="s">
        <v>209</v>
      </c>
      <c r="C16" s="203" t="s">
        <v>213</v>
      </c>
      <c r="D16" s="111" t="s">
        <v>981</v>
      </c>
      <c r="E16" s="137">
        <v>5</v>
      </c>
      <c r="F16" s="81">
        <v>272.25</v>
      </c>
      <c r="G16" s="111" t="s">
        <v>214</v>
      </c>
      <c r="H16" s="111" t="s">
        <v>604</v>
      </c>
      <c r="I16" s="137" t="s">
        <v>201</v>
      </c>
      <c r="J16" s="155">
        <v>272.25</v>
      </c>
      <c r="K16" s="159">
        <v>200410</v>
      </c>
      <c r="L16" s="81">
        <v>272.25</v>
      </c>
      <c r="M16" s="67"/>
      <c r="N16" s="111" t="s">
        <v>208</v>
      </c>
    </row>
    <row r="17" spans="1:14" ht="46.5" x14ac:dyDescent="0.35">
      <c r="A17" s="202"/>
      <c r="B17" s="111" t="s">
        <v>209</v>
      </c>
      <c r="C17" s="203" t="s">
        <v>215</v>
      </c>
      <c r="D17" s="111" t="s">
        <v>981</v>
      </c>
      <c r="E17" s="137">
        <v>1</v>
      </c>
      <c r="F17" s="81">
        <v>373.23</v>
      </c>
      <c r="G17" s="111" t="s">
        <v>419</v>
      </c>
      <c r="H17" s="111" t="s">
        <v>604</v>
      </c>
      <c r="I17" s="137" t="s">
        <v>201</v>
      </c>
      <c r="J17" s="155">
        <v>373.24</v>
      </c>
      <c r="K17" s="159">
        <v>200410</v>
      </c>
      <c r="L17" s="81">
        <v>373.24</v>
      </c>
      <c r="M17" s="67"/>
      <c r="N17" s="111" t="s">
        <v>208</v>
      </c>
    </row>
    <row r="18" spans="1:14" ht="93" x14ac:dyDescent="0.35">
      <c r="A18" s="202"/>
      <c r="B18" s="111" t="s">
        <v>209</v>
      </c>
      <c r="C18" s="160" t="s">
        <v>216</v>
      </c>
      <c r="D18" s="111" t="s">
        <v>981</v>
      </c>
      <c r="E18" s="137">
        <v>1</v>
      </c>
      <c r="F18" s="81">
        <v>11029.15</v>
      </c>
      <c r="G18" s="111" t="s">
        <v>211</v>
      </c>
      <c r="H18" s="111" t="s">
        <v>483</v>
      </c>
      <c r="I18" s="137" t="s">
        <v>201</v>
      </c>
      <c r="J18" s="155">
        <v>12815.65</v>
      </c>
      <c r="K18" s="159">
        <v>200427</v>
      </c>
      <c r="L18" s="81">
        <v>12815.65</v>
      </c>
      <c r="M18" s="67"/>
      <c r="N18" s="111" t="s">
        <v>420</v>
      </c>
    </row>
    <row r="19" spans="1:14" ht="77.5" x14ac:dyDescent="0.35">
      <c r="A19" s="213" t="s">
        <v>1110</v>
      </c>
      <c r="B19" s="213" t="s">
        <v>209</v>
      </c>
      <c r="C19" s="224" t="s">
        <v>217</v>
      </c>
      <c r="D19" s="213" t="s">
        <v>981</v>
      </c>
      <c r="E19" s="215">
        <v>1</v>
      </c>
      <c r="F19" s="216">
        <v>4416.5</v>
      </c>
      <c r="G19" s="213" t="s">
        <v>421</v>
      </c>
      <c r="H19" s="213" t="s">
        <v>422</v>
      </c>
      <c r="I19" s="215" t="s">
        <v>201</v>
      </c>
      <c r="J19" s="217">
        <v>4416.5</v>
      </c>
      <c r="K19" s="222">
        <v>210833</v>
      </c>
      <c r="L19" s="219">
        <v>4416.5</v>
      </c>
      <c r="M19" s="220"/>
      <c r="N19" s="213" t="s">
        <v>208</v>
      </c>
    </row>
    <row r="20" spans="1:14" ht="77.5" x14ac:dyDescent="0.35">
      <c r="A20" s="207" t="s">
        <v>1104</v>
      </c>
      <c r="B20" s="198" t="s">
        <v>209</v>
      </c>
      <c r="C20" s="207" t="s">
        <v>218</v>
      </c>
      <c r="D20" s="198" t="s">
        <v>981</v>
      </c>
      <c r="E20" s="46">
        <v>1</v>
      </c>
      <c r="F20" s="208">
        <v>1060.81</v>
      </c>
      <c r="G20" s="198" t="s">
        <v>219</v>
      </c>
      <c r="H20" s="198" t="s">
        <v>43</v>
      </c>
      <c r="I20" s="46" t="s">
        <v>220</v>
      </c>
      <c r="J20" s="206">
        <v>1127.72</v>
      </c>
      <c r="K20" s="201">
        <v>210638</v>
      </c>
      <c r="L20" s="205">
        <v>932</v>
      </c>
      <c r="M20" s="200"/>
      <c r="N20" s="198" t="s">
        <v>423</v>
      </c>
    </row>
    <row r="21" spans="1:14" ht="118.5" x14ac:dyDescent="0.35">
      <c r="A21" s="202"/>
      <c r="B21" s="111" t="s">
        <v>209</v>
      </c>
      <c r="C21" s="160" t="s">
        <v>221</v>
      </c>
      <c r="D21" s="111" t="s">
        <v>981</v>
      </c>
      <c r="E21" s="137">
        <v>1</v>
      </c>
      <c r="F21" s="81">
        <v>18423.599999999999</v>
      </c>
      <c r="G21" s="111" t="s">
        <v>222</v>
      </c>
      <c r="H21" s="111" t="s">
        <v>223</v>
      </c>
      <c r="I21" s="137" t="s">
        <v>224</v>
      </c>
      <c r="J21" s="155">
        <v>18150</v>
      </c>
      <c r="K21" s="159" t="s">
        <v>225</v>
      </c>
      <c r="L21" s="81">
        <v>18150</v>
      </c>
      <c r="M21" s="67"/>
      <c r="N21" s="111" t="s">
        <v>208</v>
      </c>
    </row>
    <row r="22" spans="1:14" ht="62" x14ac:dyDescent="0.35">
      <c r="A22" s="202"/>
      <c r="B22" s="111" t="s">
        <v>209</v>
      </c>
      <c r="C22" s="160" t="s">
        <v>226</v>
      </c>
      <c r="D22" s="111" t="s">
        <v>981</v>
      </c>
      <c r="E22" s="137">
        <v>4</v>
      </c>
      <c r="F22" s="81">
        <v>3404.8</v>
      </c>
      <c r="G22" s="111" t="s">
        <v>227</v>
      </c>
      <c r="H22" s="111" t="s">
        <v>223</v>
      </c>
      <c r="I22" s="137" t="s">
        <v>224</v>
      </c>
      <c r="J22" s="155">
        <v>3404.8</v>
      </c>
      <c r="K22" s="159" t="s">
        <v>976</v>
      </c>
      <c r="L22" s="81">
        <v>3404.8</v>
      </c>
      <c r="M22" s="67"/>
      <c r="N22" s="111" t="s">
        <v>208</v>
      </c>
    </row>
    <row r="23" spans="1:14" ht="46.5" x14ac:dyDescent="0.35">
      <c r="A23" s="202"/>
      <c r="B23" s="111" t="s">
        <v>209</v>
      </c>
      <c r="C23" s="203" t="s">
        <v>228</v>
      </c>
      <c r="D23" s="111" t="s">
        <v>981</v>
      </c>
      <c r="E23" s="137">
        <v>2</v>
      </c>
      <c r="F23" s="81">
        <v>108.9</v>
      </c>
      <c r="G23" s="111" t="s">
        <v>211</v>
      </c>
      <c r="H23" s="111" t="s">
        <v>483</v>
      </c>
      <c r="I23" s="137" t="s">
        <v>201</v>
      </c>
      <c r="J23" s="155">
        <v>100.8</v>
      </c>
      <c r="K23" s="159">
        <v>200427</v>
      </c>
      <c r="L23" s="81">
        <v>100.8</v>
      </c>
      <c r="M23" s="67"/>
      <c r="N23" s="111" t="s">
        <v>208</v>
      </c>
    </row>
    <row r="24" spans="1:14" ht="31" x14ac:dyDescent="0.35">
      <c r="A24" s="196" t="s">
        <v>1106</v>
      </c>
      <c r="B24" s="46" t="s">
        <v>229</v>
      </c>
      <c r="C24" s="198" t="s">
        <v>230</v>
      </c>
      <c r="D24" s="198" t="s">
        <v>981</v>
      </c>
      <c r="E24" s="209">
        <v>1</v>
      </c>
      <c r="F24" s="208">
        <v>4397.4799999999996</v>
      </c>
      <c r="G24" s="198">
        <v>67217558926</v>
      </c>
      <c r="H24" s="198" t="s">
        <v>38</v>
      </c>
      <c r="I24" s="198" t="s">
        <v>231</v>
      </c>
      <c r="J24" s="206">
        <v>4397.4799999999996</v>
      </c>
      <c r="K24" s="201">
        <v>210654</v>
      </c>
      <c r="L24" s="205">
        <v>4397.4799999999996</v>
      </c>
      <c r="M24" s="200"/>
      <c r="N24" s="198" t="s">
        <v>208</v>
      </c>
    </row>
    <row r="25" spans="1:14" ht="15.5" x14ac:dyDescent="0.35">
      <c r="F25" s="210"/>
      <c r="I25" s="37"/>
    </row>
    <row r="26" spans="1:14" x14ac:dyDescent="0.35">
      <c r="I26" s="37"/>
    </row>
    <row r="28" spans="1:14" ht="30" customHeight="1" x14ac:dyDescent="0.35">
      <c r="B28" s="759"/>
      <c r="C28" s="759"/>
      <c r="D28" s="130"/>
    </row>
  </sheetData>
  <autoFilter ref="A7:N24" xr:uid="{67668CCB-1BF8-4BB3-915A-D7AE4E5ECA90}"/>
  <mergeCells count="15">
    <mergeCell ref="A8:B8"/>
    <mergeCell ref="D6:D7"/>
    <mergeCell ref="B28:C28"/>
    <mergeCell ref="A2:C2"/>
    <mergeCell ref="B4:N4"/>
    <mergeCell ref="G5:N5"/>
    <mergeCell ref="B6:B7"/>
    <mergeCell ref="C6:C7"/>
    <mergeCell ref="E6:E7"/>
    <mergeCell ref="F6:F7"/>
    <mergeCell ref="G6:J6"/>
    <mergeCell ref="N6:N7"/>
    <mergeCell ref="K6:M6"/>
    <mergeCell ref="A6:A7"/>
    <mergeCell ref="A5:F5"/>
  </mergeCells>
  <pageMargins left="0.7" right="0.7" top="0.75" bottom="0.75" header="0.3" footer="0.3"/>
  <pageSetup paperSize="9" scale="32" orientation="portrait"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LNG_kopā</vt:lpstr>
      <vt:lpstr>D-pils_VIII</vt:lpstr>
      <vt:lpstr>Vidz_VIII</vt:lpstr>
      <vt:lpstr>Jēkabp_VII</vt:lpstr>
      <vt:lpstr>Liep_VI</vt:lpstr>
      <vt:lpstr>Rēz_VII</vt:lpstr>
      <vt:lpstr>Ziemeļk_IV</vt:lpstr>
      <vt:lpstr>Jelg_V</vt:lpstr>
      <vt:lpstr>Bauska_II</vt:lpstr>
      <vt:lpstr>Aizkr_IV</vt:lpstr>
      <vt:lpstr>Ludz_V</vt:lpstr>
      <vt:lpstr>R.1.sl_IV</vt:lpstr>
      <vt:lpstr>Alūksn_IV</vt:lpstr>
      <vt:lpstr>Balvi</vt:lpstr>
      <vt:lpstr>Kuldīga</vt:lpstr>
      <vt:lpstr>BKUS</vt:lpstr>
      <vt:lpstr>PSKUS</vt:lpstr>
      <vt:lpstr>Balvi!Print_Area</vt:lpstr>
      <vt:lpstr>BKUS!Print_Area</vt:lpstr>
      <vt:lpstr>'D-pils_VIII'!Print_Area</vt:lpstr>
      <vt:lpstr>Kuldīga!Print_Area</vt:lpstr>
      <vt:lpstr>PSKUS!Print_Area</vt:lpstr>
      <vt:lpstr>Rēz_VII!Print_Area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Dreimane</dc:creator>
  <cp:lastModifiedBy>Guna Jermacāne</cp:lastModifiedBy>
  <cp:lastPrinted>2021-09-23T18:03:16Z</cp:lastPrinted>
  <dcterms:created xsi:type="dcterms:W3CDTF">2021-01-07T07:33:46Z</dcterms:created>
  <dcterms:modified xsi:type="dcterms:W3CDTF">2021-09-29T09:29:53Z</dcterms:modified>
</cp:coreProperties>
</file>