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vesticiju un Eiropas savienibas fondu uzraudzibas departaments\02 ESFONDI 2021-2027\03-IEVIESANA\4.1.1.SAM\4.1.1.1. un 4.1.1.1.2. pasakums\1.kārta\VA_metodika\"/>
    </mc:Choice>
  </mc:AlternateContent>
  <xr:revisionPtr revIDLastSave="0" documentId="13_ncr:1_{5948F6D7-367C-4F83-A9D5-C705537CCB03}" xr6:coauthVersionLast="47" xr6:coauthVersionMax="47" xr10:uidLastSave="{00000000-0000-0000-0000-000000000000}"/>
  <bookViews>
    <workbookView xWindow="-108" yWindow="-108" windowWidth="23256" windowHeight="12576" tabRatio="812" firstSheet="1" activeTab="7" xr2:uid="{00000000-000D-0000-FFFF-FFFF00000000}"/>
  </bookViews>
  <sheets>
    <sheet name="Kopsavilkums" sheetId="16" r:id="rId1"/>
    <sheet name="Pamata infrastruktūra" sheetId="26" r:id="rId2"/>
    <sheet name="Pamata infrastruktūra2" sheetId="27" r:id="rId3"/>
    <sheet name="Jaunais lifts" sheetId="34" r:id="rId4"/>
    <sheet name="Komunikacijas" sheetId="35" r:id="rId5"/>
    <sheet name="Atbalsta darbības" sheetId="38" r:id="rId6"/>
    <sheet name="Līguma pielikums" sheetId="36" r:id="rId7"/>
    <sheet name="Projekta finansēšanas plāns" sheetId="37" r:id="rId8"/>
    <sheet name="Pārbaude" sheetId="32" state="hidden" r:id="rId9"/>
  </sheets>
  <definedNames>
    <definedName name="_xlnm.Print_Area" localSheetId="3">'Jaunais lifts'!$A$1:$F$10</definedName>
    <definedName name="_xlnm.Print_Area" localSheetId="4">Komunikacijas!$A$1:$F$12</definedName>
    <definedName name="_xlnm.Print_Area" localSheetId="0">Kopsavilkums!$A$1:$O$25</definedName>
    <definedName name="_xlnm.Print_Area" localSheetId="6">'Līguma pielikums'!$A$1:$D$4</definedName>
    <definedName name="_xlnm.Print_Area" localSheetId="1">'Pamata infrastruktūra'!$A$1:$G$14</definedName>
    <definedName name="_xlnm.Print_Area" localSheetId="2">'Pamata infrastruktūra2'!$A$1:$L$11</definedName>
    <definedName name="_xlnm.Print_Area" localSheetId="7">'Projekta finansēšanas plāns'!$A$1:$J$14</definedName>
    <definedName name="_xlnm.Print_Titles" localSheetId="0">Kopsavilkums!$2:$3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37" l="1"/>
  <c r="L8" i="37"/>
  <c r="L10" i="37" s="1"/>
  <c r="L14" i="37" s="1"/>
  <c r="I16" i="37"/>
  <c r="J24" i="16" l="1"/>
  <c r="G24" i="16"/>
  <c r="M20" i="16"/>
  <c r="M14" i="16"/>
  <c r="M8" i="16"/>
  <c r="B22" i="16"/>
  <c r="F8" i="26"/>
  <c r="D8" i="26"/>
  <c r="B8" i="26"/>
  <c r="J23" i="16"/>
  <c r="G23" i="16"/>
  <c r="L23" i="16" s="1"/>
  <c r="B10" i="16"/>
  <c r="A8" i="35" s="1"/>
  <c r="C10" i="16"/>
  <c r="B8" i="35" s="1"/>
  <c r="D10" i="16"/>
  <c r="F8" i="35" s="1"/>
  <c r="E10" i="16"/>
  <c r="F10" i="16"/>
  <c r="H10" i="16"/>
  <c r="I10" i="16"/>
  <c r="B9" i="16"/>
  <c r="A7" i="35" s="1"/>
  <c r="C20" i="16"/>
  <c r="B21" i="16"/>
  <c r="B17" i="16"/>
  <c r="A9" i="35" s="1"/>
  <c r="B18" i="16"/>
  <c r="B19" i="16"/>
  <c r="B16" i="16"/>
  <c r="B15" i="16"/>
  <c r="B14" i="16"/>
  <c r="B12" i="16"/>
  <c r="B13" i="16"/>
  <c r="B11" i="16"/>
  <c r="B5" i="16"/>
  <c r="B6" i="16"/>
  <c r="A5" i="35" s="1"/>
  <c r="B7" i="16"/>
  <c r="A6" i="35" s="1"/>
  <c r="B8" i="16"/>
  <c r="B4" i="16"/>
  <c r="A4" i="35" s="1"/>
  <c r="E12" i="16"/>
  <c r="F12" i="16"/>
  <c r="I12" i="16"/>
  <c r="N24" i="16" l="1"/>
  <c r="O24" i="16" s="1"/>
  <c r="M25" i="16"/>
  <c r="B5" i="38" s="1"/>
  <c r="B7" i="38" s="1"/>
  <c r="A4" i="36" s="1"/>
  <c r="L16" i="37" s="1"/>
  <c r="L24" i="16"/>
  <c r="N23" i="16"/>
  <c r="O23" i="16" s="1"/>
  <c r="A6" i="34"/>
  <c r="F6" i="34"/>
  <c r="B6" i="34"/>
  <c r="A7" i="34"/>
  <c r="A4" i="34"/>
  <c r="A5" i="34"/>
  <c r="H8" i="35"/>
  <c r="G10" i="16"/>
  <c r="G12" i="16"/>
  <c r="J10" i="16"/>
  <c r="D5" i="27"/>
  <c r="B5" i="27"/>
  <c r="H5" i="37" l="1"/>
  <c r="H8" i="37" s="1"/>
  <c r="H10" i="37" s="1"/>
  <c r="B7" i="37"/>
  <c r="G5" i="37"/>
  <c r="H6" i="37"/>
  <c r="B5" i="37"/>
  <c r="C6" i="37"/>
  <c r="D7" i="37"/>
  <c r="C9" i="37"/>
  <c r="D11" i="37"/>
  <c r="E12" i="37"/>
  <c r="D6" i="37"/>
  <c r="E7" i="37"/>
  <c r="D9" i="37"/>
  <c r="E11" i="37"/>
  <c r="F12" i="37"/>
  <c r="H9" i="37"/>
  <c r="B12" i="37"/>
  <c r="C5" i="37"/>
  <c r="B11" i="37"/>
  <c r="C12" i="37"/>
  <c r="B6" i="37"/>
  <c r="C7" i="37"/>
  <c r="B9" i="37"/>
  <c r="C11" i="37"/>
  <c r="C13" i="37" s="1"/>
  <c r="D12" i="37"/>
  <c r="D5" i="37"/>
  <c r="E6" i="37"/>
  <c r="F7" i="37"/>
  <c r="E9" i="37"/>
  <c r="F11" i="37"/>
  <c r="G12" i="37"/>
  <c r="E5" i="37"/>
  <c r="F6" i="37"/>
  <c r="G7" i="37"/>
  <c r="F9" i="37"/>
  <c r="G11" i="37"/>
  <c r="H12" i="37"/>
  <c r="F5" i="37"/>
  <c r="G6" i="37"/>
  <c r="H7" i="37"/>
  <c r="G9" i="37"/>
  <c r="H11" i="37"/>
  <c r="N10" i="16"/>
  <c r="C8" i="35"/>
  <c r="C6" i="34"/>
  <c r="D6" i="34"/>
  <c r="D8" i="35"/>
  <c r="H6" i="34"/>
  <c r="L10" i="16"/>
  <c r="I9" i="37" l="1"/>
  <c r="F13" i="37"/>
  <c r="I5" i="37"/>
  <c r="E8" i="37"/>
  <c r="E10" i="37" s="1"/>
  <c r="G13" i="37"/>
  <c r="F8" i="37"/>
  <c r="F10" i="37" s="1"/>
  <c r="F14" i="37" s="1"/>
  <c r="I12" i="37"/>
  <c r="D13" i="37"/>
  <c r="I6" i="37"/>
  <c r="B13" i="37"/>
  <c r="I11" i="37"/>
  <c r="G8" i="37"/>
  <c r="G10" i="37" s="1"/>
  <c r="H13" i="37"/>
  <c r="H14" i="37" s="1"/>
  <c r="D8" i="37"/>
  <c r="D10" i="37" s="1"/>
  <c r="C8" i="37"/>
  <c r="C10" i="37" s="1"/>
  <c r="C14" i="37" s="1"/>
  <c r="E13" i="37"/>
  <c r="B8" i="37"/>
  <c r="I7" i="37"/>
  <c r="O10" i="16"/>
  <c r="E6" i="34"/>
  <c r="G6" i="34" s="1"/>
  <c r="E8" i="35"/>
  <c r="G8" i="35" s="1"/>
  <c r="C4" i="32"/>
  <c r="E14" i="37" l="1"/>
  <c r="G14" i="37"/>
  <c r="I13" i="37"/>
  <c r="D14" i="37"/>
  <c r="B10" i="37"/>
  <c r="I8" i="37"/>
  <c r="B10" i="36"/>
  <c r="C10" i="36"/>
  <c r="C19" i="16"/>
  <c r="D19" i="16"/>
  <c r="C17" i="16"/>
  <c r="D17" i="16"/>
  <c r="C18" i="16"/>
  <c r="D18" i="16"/>
  <c r="D16" i="16"/>
  <c r="C16" i="16"/>
  <c r="J5" i="27"/>
  <c r="I5" i="27"/>
  <c r="B14" i="37" l="1"/>
  <c r="I14" i="37" s="1"/>
  <c r="I10" i="37"/>
  <c r="F9" i="35"/>
  <c r="F7" i="34"/>
  <c r="B9" i="35"/>
  <c r="B7" i="34"/>
  <c r="D15" i="16"/>
  <c r="C15" i="16"/>
  <c r="I13" i="16"/>
  <c r="H13" i="16"/>
  <c r="F13" i="16"/>
  <c r="E13" i="16"/>
  <c r="D13" i="16"/>
  <c r="C13" i="16"/>
  <c r="H12" i="16"/>
  <c r="J12" i="16" s="1"/>
  <c r="D12" i="16"/>
  <c r="C12" i="16"/>
  <c r="I11" i="16"/>
  <c r="H11" i="16"/>
  <c r="F11" i="16"/>
  <c r="E11" i="16"/>
  <c r="D11" i="16"/>
  <c r="C11" i="16"/>
  <c r="C5" i="16"/>
  <c r="E5" i="16"/>
  <c r="F5" i="16"/>
  <c r="H5" i="16"/>
  <c r="I5" i="16"/>
  <c r="C6" i="16"/>
  <c r="B5" i="35" s="1"/>
  <c r="E6" i="16"/>
  <c r="F6" i="16"/>
  <c r="H6" i="16"/>
  <c r="I6" i="16"/>
  <c r="C7" i="16"/>
  <c r="E7" i="16"/>
  <c r="F7" i="16"/>
  <c r="H7" i="16"/>
  <c r="I7" i="16"/>
  <c r="I4" i="16"/>
  <c r="H4" i="16"/>
  <c r="F4" i="16"/>
  <c r="E4" i="16"/>
  <c r="C4" i="16"/>
  <c r="I9" i="16"/>
  <c r="H9" i="16"/>
  <c r="F9" i="16"/>
  <c r="E9" i="16"/>
  <c r="D9" i="16"/>
  <c r="C9" i="16"/>
  <c r="D4" i="16"/>
  <c r="F4" i="35" s="1"/>
  <c r="J14" i="37" l="1"/>
  <c r="J13" i="37"/>
  <c r="J7" i="37"/>
  <c r="J5" i="37"/>
  <c r="J6" i="37"/>
  <c r="J8" i="37"/>
  <c r="J11" i="37"/>
  <c r="J10" i="37"/>
  <c r="J12" i="37"/>
  <c r="J9" i="37"/>
  <c r="B4" i="35"/>
  <c r="S4" i="16"/>
  <c r="J13" i="16"/>
  <c r="J5" i="16"/>
  <c r="L12" i="16"/>
  <c r="F11" i="27" s="1"/>
  <c r="N12" i="16"/>
  <c r="H4" i="35"/>
  <c r="B6" i="35"/>
  <c r="B4" i="34"/>
  <c r="H7" i="34"/>
  <c r="C8" i="16"/>
  <c r="B7" i="35"/>
  <c r="B5" i="34"/>
  <c r="H9" i="35"/>
  <c r="F7" i="35"/>
  <c r="F5" i="34"/>
  <c r="J11" i="16"/>
  <c r="J4" i="16"/>
  <c r="D4" i="35" s="1"/>
  <c r="G11" i="16"/>
  <c r="H8" i="16"/>
  <c r="J9" i="16"/>
  <c r="G7" i="16"/>
  <c r="G6" i="16"/>
  <c r="G9" i="16"/>
  <c r="E8" i="16"/>
  <c r="G5" i="16"/>
  <c r="N5" i="16" s="1"/>
  <c r="J7" i="16"/>
  <c r="J6" i="16"/>
  <c r="D5" i="35" s="1"/>
  <c r="G13" i="16"/>
  <c r="G4" i="16"/>
  <c r="C14" i="16"/>
  <c r="D7" i="16"/>
  <c r="D6" i="16"/>
  <c r="F5" i="35" s="1"/>
  <c r="D5" i="16"/>
  <c r="S5" i="16" l="1"/>
  <c r="S6" i="16" s="1"/>
  <c r="N11" i="16"/>
  <c r="C4" i="35"/>
  <c r="E4" i="35" s="1"/>
  <c r="G4" i="35" s="1"/>
  <c r="N4" i="16"/>
  <c r="N7" i="16"/>
  <c r="C5" i="35"/>
  <c r="E5" i="35" s="1"/>
  <c r="G5" i="35" s="1"/>
  <c r="N6" i="16"/>
  <c r="L13" i="16"/>
  <c r="N13" i="16"/>
  <c r="N9" i="16"/>
  <c r="H7" i="35"/>
  <c r="C4" i="34"/>
  <c r="C6" i="35"/>
  <c r="H5" i="35"/>
  <c r="J8" i="16"/>
  <c r="I8" i="16" s="1"/>
  <c r="D7" i="35"/>
  <c r="D5" i="34"/>
  <c r="H5" i="34"/>
  <c r="C7" i="35"/>
  <c r="C5" i="34"/>
  <c r="F6" i="35"/>
  <c r="F10" i="35" s="1"/>
  <c r="D22" i="16" s="1"/>
  <c r="F4" i="34"/>
  <c r="F8" i="34" s="1"/>
  <c r="D21" i="16" s="1"/>
  <c r="D4" i="34"/>
  <c r="D6" i="35"/>
  <c r="L11" i="16"/>
  <c r="L5" i="16"/>
  <c r="O5" i="16" s="1"/>
  <c r="L6" i="16"/>
  <c r="L7" i="16"/>
  <c r="L4" i="16"/>
  <c r="R4" i="16" s="1"/>
  <c r="L9" i="16"/>
  <c r="G8" i="16"/>
  <c r="E11" i="27"/>
  <c r="O7" i="16" l="1"/>
  <c r="O11" i="16"/>
  <c r="R5" i="16"/>
  <c r="R6" i="16" s="1"/>
  <c r="R7" i="16" s="1"/>
  <c r="O6" i="16"/>
  <c r="L8" i="16"/>
  <c r="E5" i="34"/>
  <c r="G5" i="34" s="1"/>
  <c r="H4" i="34"/>
  <c r="H8" i="34" s="1"/>
  <c r="E7" i="35"/>
  <c r="G7" i="35" s="1"/>
  <c r="E6" i="35"/>
  <c r="G6" i="35" s="1"/>
  <c r="E4" i="34"/>
  <c r="G4" i="34" s="1"/>
  <c r="H6" i="35"/>
  <c r="H10" i="35" s="1"/>
  <c r="D20" i="16"/>
  <c r="D11" i="27"/>
  <c r="F8" i="16"/>
  <c r="O4" i="16"/>
  <c r="O13" i="16"/>
  <c r="O12" i="16"/>
  <c r="K6" i="27" l="1"/>
  <c r="L6" i="27" s="1"/>
  <c r="K10" i="27"/>
  <c r="K8" i="27"/>
  <c r="K9" i="27"/>
  <c r="K5" i="27"/>
  <c r="G15" i="16" l="1"/>
  <c r="G14" i="16" l="1"/>
  <c r="J15" i="16"/>
  <c r="N8" i="16"/>
  <c r="O9" i="16" l="1"/>
  <c r="O8" i="16" s="1"/>
  <c r="L5" i="27" l="1"/>
  <c r="N15" i="16" l="1"/>
  <c r="L15" i="16"/>
  <c r="J14" i="16"/>
  <c r="L14" i="16" l="1"/>
  <c r="N14" i="16" l="1"/>
  <c r="H11" i="27"/>
  <c r="L8" i="27"/>
  <c r="G17" i="16" s="1"/>
  <c r="J17" i="16" s="1"/>
  <c r="D9" i="35" l="1"/>
  <c r="D7" i="34"/>
  <c r="N17" i="16"/>
  <c r="O15" i="16"/>
  <c r="O14" i="16" s="1"/>
  <c r="L17" i="16" l="1"/>
  <c r="G11" i="27" s="1"/>
  <c r="K7" i="27" s="1"/>
  <c r="C9" i="35"/>
  <c r="E9" i="35" s="1"/>
  <c r="G9" i="35" s="1"/>
  <c r="G10" i="35" s="1"/>
  <c r="F11" i="35" s="1"/>
  <c r="C7" i="34"/>
  <c r="E7" i="34" s="1"/>
  <c r="G7" i="34" s="1"/>
  <c r="G8" i="34" s="1"/>
  <c r="F9" i="34" s="1"/>
  <c r="O17" i="16" l="1"/>
  <c r="G21" i="16"/>
  <c r="F10" i="34"/>
  <c r="F12" i="35"/>
  <c r="J22" i="16" s="1"/>
  <c r="G22" i="16"/>
  <c r="L10" i="27"/>
  <c r="G19" i="16" s="1"/>
  <c r="J19" i="16" s="1"/>
  <c r="L9" i="27"/>
  <c r="G18" i="16" s="1"/>
  <c r="J18" i="16" s="1"/>
  <c r="L7" i="27"/>
  <c r="N19" i="16" l="1"/>
  <c r="G16" i="16"/>
  <c r="J16" i="16" s="1"/>
  <c r="N22" i="16"/>
  <c r="L18" i="16"/>
  <c r="N18" i="16"/>
  <c r="L22" i="16"/>
  <c r="J21" i="16"/>
  <c r="J20" i="16" s="1"/>
  <c r="G20" i="16"/>
  <c r="L19" i="16"/>
  <c r="O22" i="16" l="1"/>
  <c r="N21" i="16"/>
  <c r="L16" i="16"/>
  <c r="N16" i="16"/>
  <c r="L20" i="16"/>
  <c r="L21" i="16"/>
  <c r="O18" i="16"/>
  <c r="O19" i="16"/>
  <c r="N20" i="16" l="1"/>
  <c r="O21" i="16"/>
  <c r="O20" i="16" s="1"/>
  <c r="O16" i="16"/>
  <c r="N25" i="16" l="1"/>
  <c r="D5" i="38" s="1"/>
  <c r="C5" i="38" s="1"/>
  <c r="O25" i="16"/>
  <c r="E5" i="38" s="1"/>
  <c r="D6" i="38" l="1"/>
  <c r="E6" i="38" s="1"/>
  <c r="D4" i="38"/>
  <c r="E4" i="38" s="1"/>
  <c r="B2" i="32"/>
  <c r="D2" i="32" s="1"/>
  <c r="B3" i="32"/>
  <c r="D3" i="32" s="1"/>
  <c r="D4" i="32" l="1"/>
  <c r="E7" i="38"/>
  <c r="C4" i="36" s="1"/>
  <c r="C9" i="36" s="1"/>
  <c r="C8" i="36" s="1"/>
  <c r="D7" i="38"/>
  <c r="B4" i="36" s="1"/>
  <c r="B9" i="36" s="1"/>
  <c r="B8" i="36" s="1"/>
  <c r="B4" i="32"/>
</calcChain>
</file>

<file path=xl/sharedStrings.xml><?xml version="1.0" encoding="utf-8"?>
<sst xmlns="http://schemas.openxmlformats.org/spreadsheetml/2006/main" count="613" uniqueCount="139">
  <si>
    <t>Uzņemšanas nodaļa</t>
  </si>
  <si>
    <t>Reanimācijas nodaļa</t>
  </si>
  <si>
    <t>Laboratorija</t>
  </si>
  <si>
    <t>Ambulators</t>
  </si>
  <si>
    <t>Struktūrvienība</t>
  </si>
  <si>
    <t>Platība</t>
  </si>
  <si>
    <t>KOPĀ:</t>
  </si>
  <si>
    <t>-</t>
  </si>
  <si>
    <t>Maksas pakalpojumu sniegšanas laiks</t>
  </si>
  <si>
    <t>Valsts pakalpojumu sniegšanas laiks</t>
  </si>
  <si>
    <t>Informācijas avots</t>
  </si>
  <si>
    <t>Operāciju bloks</t>
  </si>
  <si>
    <t>Patoloģijas nodaļa</t>
  </si>
  <si>
    <t>Dezinfekcijas un sterilizācijas dienests</t>
  </si>
  <si>
    <t>Slēgta tipa aptieka</t>
  </si>
  <si>
    <t>Morgs vai telpas mirušo uzglabāšanai</t>
  </si>
  <si>
    <t xml:space="preserve">
</t>
  </si>
  <si>
    <t>Ārstēšanas ilgums [stundas]</t>
  </si>
  <si>
    <t>Kopējais laiks [stundas]</t>
  </si>
  <si>
    <t>Infrastruktūras izmantošanas proporcija sabiedriskiem pakalpojumiem [%]</t>
  </si>
  <si>
    <t>1.</t>
  </si>
  <si>
    <t>Pozīcijas numurs</t>
  </si>
  <si>
    <t>2.</t>
  </si>
  <si>
    <t>3.</t>
  </si>
  <si>
    <t>4.</t>
  </si>
  <si>
    <t>5.</t>
  </si>
  <si>
    <t>6.</t>
  </si>
  <si>
    <t>7.</t>
  </si>
  <si>
    <t>8.</t>
  </si>
  <si>
    <t>15.</t>
  </si>
  <si>
    <t>16.</t>
  </si>
  <si>
    <r>
      <t>Platība [m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  <r>
      <rPr>
        <b/>
        <sz val="11"/>
        <color theme="1"/>
        <rFont val="Calibri"/>
        <family val="2"/>
        <charset val="186"/>
        <scheme val="minor"/>
      </rPr>
      <t>]</t>
    </r>
  </si>
  <si>
    <t>Dzemdību nodaļa</t>
  </si>
  <si>
    <t>Kopā:</t>
  </si>
  <si>
    <t>9.</t>
  </si>
  <si>
    <t>Pacientu / darbību / vienību skaits gadā</t>
  </si>
  <si>
    <t xml:space="preserve">Laboratorija </t>
  </si>
  <si>
    <t>5.1.</t>
  </si>
  <si>
    <t>9.1.</t>
  </si>
  <si>
    <t>Pacientu / darbību skaits gadā</t>
  </si>
  <si>
    <t>Ārējie klienti</t>
  </si>
  <si>
    <t>Stacionārs 
(t.sk. dienas stacionārs)</t>
  </si>
  <si>
    <t>Pakalpojumu daudzums</t>
  </si>
  <si>
    <t>Iekšējie klienti</t>
  </si>
  <si>
    <t>Patoloģijas struktūr-vienība</t>
  </si>
  <si>
    <t>Diagnostiskās struktūr-vienība</t>
  </si>
  <si>
    <t>Vidējā laika proporcija</t>
  </si>
  <si>
    <t>Pakalpojumu daudzums, kas attiecināms uz valsts  pakalpojumiem</t>
  </si>
  <si>
    <t>Pakalpojumu daudzums, kas attiecināms uz maksas  pakalpojumiem</t>
  </si>
  <si>
    <t>Publiskais finansējums</t>
  </si>
  <si>
    <t>Privātais finansējums</t>
  </si>
  <si>
    <t>Aprēķinātais</t>
  </si>
  <si>
    <t>Reālais</t>
  </si>
  <si>
    <t>Nepieciešamā korekcija</t>
  </si>
  <si>
    <t>Dienas stacionārs*</t>
  </si>
  <si>
    <t>*Dienas stacionāra pakalpojumi tiek sniegti diennakts stacionārā, līdz ar to dienas stacionāra pacienti uzskaitīti pie diennakts stacionāra</t>
  </si>
  <si>
    <t>Vidējais darba laiks gadā [stundas]</t>
  </si>
  <si>
    <t>Informācija par struktūrvienībām, kurām var noteikt laika sadalījumu pēc pacientu skaita un ārstēšanas ilguma</t>
  </si>
  <si>
    <t>Informācija par struktūrvienībām, kurām var noteikt laika sadalījumu pēc pakalpojumu skaita</t>
  </si>
  <si>
    <t xml:space="preserve">Darba laiks (L) </t>
  </si>
  <si>
    <t>Infromācija par infrastruktūru, kurai nav iespējams noteikt izmantošanas laiku</t>
  </si>
  <si>
    <r>
      <t xml:space="preserve">Plātība </t>
    </r>
    <r>
      <rPr>
        <b/>
        <i/>
        <sz val="11"/>
        <color indexed="8"/>
        <rFont val="Calibri"/>
        <family val="2"/>
        <charset val="186"/>
        <scheme val="minor"/>
      </rPr>
      <t>(P</t>
    </r>
    <r>
      <rPr>
        <i/>
        <vertAlign val="subscript"/>
        <sz val="11"/>
        <color indexed="8"/>
        <rFont val="Calibri"/>
        <family val="2"/>
        <charset val="186"/>
        <scheme val="minor"/>
      </rPr>
      <t>1</t>
    </r>
    <r>
      <rPr>
        <b/>
        <i/>
        <sz val="11"/>
        <color indexed="8"/>
        <rFont val="Calibri"/>
        <family val="2"/>
        <charset val="186"/>
        <scheme val="minor"/>
      </rPr>
      <t>)</t>
    </r>
  </si>
  <si>
    <r>
      <t xml:space="preserve">Izmantošanas laiks valsts apmaksāto pakalpojumu sniegšanai </t>
    </r>
    <r>
      <rPr>
        <b/>
        <i/>
        <sz val="11"/>
        <color indexed="8"/>
        <rFont val="Calibri"/>
        <family val="2"/>
        <charset val="186"/>
        <scheme val="minor"/>
      </rPr>
      <t>(L</t>
    </r>
    <r>
      <rPr>
        <b/>
        <i/>
        <vertAlign val="subscript"/>
        <sz val="11"/>
        <color indexed="8"/>
        <rFont val="Calibri"/>
        <family val="2"/>
        <charset val="186"/>
        <scheme val="minor"/>
      </rPr>
      <t>v1</t>
    </r>
    <r>
      <rPr>
        <b/>
        <i/>
        <sz val="11"/>
        <color indexed="8"/>
        <rFont val="Calibri"/>
        <family val="2"/>
        <charset val="186"/>
        <scheme val="minor"/>
      </rPr>
      <t>)</t>
    </r>
  </si>
  <si>
    <r>
      <t xml:space="preserve">Izmantošanas laiks maksas pakalpojumu sniegšanai </t>
    </r>
    <r>
      <rPr>
        <b/>
        <i/>
        <sz val="11"/>
        <color indexed="8"/>
        <rFont val="Calibri"/>
        <family val="2"/>
        <charset val="186"/>
        <scheme val="minor"/>
      </rPr>
      <t>(L</t>
    </r>
    <r>
      <rPr>
        <b/>
        <i/>
        <vertAlign val="subscript"/>
        <sz val="11"/>
        <color indexed="8"/>
        <rFont val="Calibri"/>
        <family val="2"/>
        <charset val="186"/>
        <scheme val="minor"/>
      </rPr>
      <t>m1</t>
    </r>
    <r>
      <rPr>
        <b/>
        <i/>
        <sz val="11"/>
        <color indexed="8"/>
        <rFont val="Calibri"/>
        <family val="2"/>
        <charset val="186"/>
        <scheme val="minor"/>
      </rPr>
      <t>)</t>
    </r>
  </si>
  <si>
    <r>
      <t xml:space="preserve">Izmantošanas proporcija
</t>
    </r>
    <r>
      <rPr>
        <b/>
        <i/>
        <sz val="11"/>
        <color indexed="8"/>
        <rFont val="Calibri"/>
        <family val="2"/>
        <charset val="186"/>
        <scheme val="minor"/>
      </rPr>
      <t xml:space="preserve">(Prv1= Lv1/(Lv1+Lm1)) </t>
    </r>
  </si>
  <si>
    <t>Saistītās struktūrvienības</t>
  </si>
  <si>
    <t>Citas atbalstāmās struktūrvienības</t>
  </si>
  <si>
    <t>Izmantošanas laiks gadā (Lmax)</t>
  </si>
  <si>
    <r>
      <t>Izmantošanās laiks citu darbību veikšanai (Lm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  <r>
      <rPr>
        <b/>
        <sz val="11"/>
        <color theme="1"/>
        <rFont val="Calibri"/>
        <family val="2"/>
        <charset val="186"/>
        <scheme val="minor"/>
      </rPr>
      <t>)</t>
    </r>
  </si>
  <si>
    <r>
      <t>Izmantošanās laiks valsts apmaksāto pakalpojumu sniegšanai (Lv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  <r>
      <rPr>
        <b/>
        <sz val="11"/>
        <color theme="1"/>
        <rFont val="Calibri"/>
        <family val="2"/>
        <charset val="186"/>
        <scheme val="minor"/>
      </rPr>
      <t>)</t>
    </r>
  </si>
  <si>
    <t>Cita darbība [stundas gadā]</t>
  </si>
  <si>
    <t>Kopsavilkums</t>
  </si>
  <si>
    <t>5.3.</t>
  </si>
  <si>
    <t>Ar ārsta nosūtījumu (valsts apmāksatais pakalpojums)</t>
  </si>
  <si>
    <t>Citi klienti (maksas pakalpojums)</t>
  </si>
  <si>
    <t>10.</t>
  </si>
  <si>
    <t>11.</t>
  </si>
  <si>
    <t>12.</t>
  </si>
  <si>
    <t>13.</t>
  </si>
  <si>
    <t>Maksimālais publiskais finansējums [EUR]</t>
  </si>
  <si>
    <t>Minimālais privātais finansējums [EUR]</t>
  </si>
  <si>
    <t>Ķirurģijas nodaļa</t>
  </si>
  <si>
    <t>Terapijas nodaļa</t>
  </si>
  <si>
    <t>Jaunu liftu ierīkošana</t>
  </si>
  <si>
    <t>Diagnostikas nodaļa</t>
  </si>
  <si>
    <t>Komunikāciju un ventilācijas atjaunošana</t>
  </si>
  <si>
    <t>Attības izmaksas [EUR]</t>
  </si>
  <si>
    <t>Publisko izmaksu maksimālā un privāto izmaksu minimālā apjoma aprēķins (EUR)</t>
  </si>
  <si>
    <t>Kopējais finansējums (EUR)</t>
  </si>
  <si>
    <t>Maksimālais publiskais finansējums (EUR)</t>
  </si>
  <si>
    <t>Minimālais privātais finansējums (EUR)</t>
  </si>
  <si>
    <t>Atsauce uz finansējuma saņēmēja rīkojumu, ar kuru apstiprināts informāciju pamatojošs aprēķins</t>
  </si>
  <si>
    <t>3 = 1 – 2</t>
  </si>
  <si>
    <t xml:space="preserve">
</t>
  </si>
  <si>
    <t>Finansēšanas plāns</t>
  </si>
  <si>
    <t>Finansējuma avots</t>
  </si>
  <si>
    <t>Attiecināmais valsts budžeta finansējums</t>
  </si>
  <si>
    <t>Kopējās attiecināmās izmaksas</t>
  </si>
  <si>
    <t>Kopējās izmaksas</t>
  </si>
  <si>
    <t>Summa</t>
  </si>
  <si>
    <t>Kopā</t>
  </si>
  <si>
    <t>%</t>
  </si>
  <si>
    <t>% no attiecināmajām izmaksām</t>
  </si>
  <si>
    <t>Kopējās attiecināmās publiskās izmaksas</t>
  </si>
  <si>
    <t>Kopējās attiecināmās privātās izmaksas</t>
  </si>
  <si>
    <t>Kopējās neattiecināmās izmaksas</t>
  </si>
  <si>
    <t>Izmaksu intensitāte</t>
  </si>
  <si>
    <t>Pārbaude</t>
  </si>
  <si>
    <t>Aprēķins:</t>
  </si>
  <si>
    <t>Projekts</t>
  </si>
  <si>
    <t>Apakšaktivitāte</t>
  </si>
  <si>
    <t>(EUR)</t>
  </si>
  <si>
    <t>Aprēķinātā publisko izmaksu proporcija</t>
  </si>
  <si>
    <t>(%)*</t>
  </si>
  <si>
    <t>Publisko izmaksu maksimālais apmērs</t>
  </si>
  <si>
    <t>Privāto izmaksu minimālais apmērs</t>
  </si>
  <si>
    <t>Tehniskā projekta izstrāde</t>
  </si>
  <si>
    <t>Būvuzraudzība</t>
  </si>
  <si>
    <t>Aktivitāte kopā</t>
  </si>
  <si>
    <t>Citas atbalstāmās struktūrvienības (norādīt)</t>
  </si>
  <si>
    <t>Citas neatbalstāmās struktūrvienības (norādīt)</t>
  </si>
  <si>
    <t>13.1.</t>
  </si>
  <si>
    <t>13.2.</t>
  </si>
  <si>
    <t>Atbalsta darbību finansējuma proporcijas aprēķins</t>
  </si>
  <si>
    <t>Kopējās izmaksas
[EUR]</t>
  </si>
  <si>
    <t>Iekšējās atjaunošanas darbi</t>
  </si>
  <si>
    <t>2023.gads</t>
  </si>
  <si>
    <t>2024.gads</t>
  </si>
  <si>
    <t>2025.gads</t>
  </si>
  <si>
    <t>2026.gads</t>
  </si>
  <si>
    <t>2027.gads</t>
  </si>
  <si>
    <t>2028.gads</t>
  </si>
  <si>
    <t>2029.gads</t>
  </si>
  <si>
    <t>Citas attiecināmās publiskās izmaksas</t>
  </si>
  <si>
    <t>Citas neattiecināmās publiskās izmaksas</t>
  </si>
  <si>
    <t>Citas neattiecināmās privātās izmaksas</t>
  </si>
  <si>
    <t>Diagnostikas struktūrvienība</t>
  </si>
  <si>
    <t>Cita saistītā infrastruktūra (tai skaitā ārējā atjaunošana un pārbūve)</t>
  </si>
  <si>
    <t>Eiropas Reģionālās attīstības fonda finansējums / Atveseļošanas fonda finansējums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</si>
</sst>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vertAlign val="superscript"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i/>
      <sz val="11"/>
      <color indexed="8"/>
      <name val="Calibri"/>
      <family val="2"/>
      <charset val="186"/>
      <scheme val="minor"/>
    </font>
    <font>
      <i/>
      <vertAlign val="subscript"/>
      <sz val="11"/>
      <color indexed="8"/>
      <name val="Calibri"/>
      <family val="2"/>
      <charset val="186"/>
      <scheme val="minor"/>
    </font>
    <font>
      <b/>
      <i/>
      <vertAlign val="subscript"/>
      <sz val="11"/>
      <color indexed="8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b/>
      <sz val="24"/>
      <color theme="1"/>
      <name val="Times New Roman"/>
      <family val="1"/>
      <charset val="186"/>
    </font>
    <font>
      <b/>
      <sz val="22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22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sz val="11"/>
      <color rgb="FF414142"/>
      <name val="Arial"/>
      <family val="2"/>
      <charset val="186"/>
    </font>
    <font>
      <sz val="11"/>
      <color rgb="FF414142"/>
      <name val="Arial"/>
      <family val="2"/>
      <charset val="186"/>
    </font>
    <font>
      <sz val="28"/>
      <color theme="1"/>
      <name val="Calibri"/>
      <family val="2"/>
      <charset val="186"/>
      <scheme val="minor"/>
    </font>
    <font>
      <b/>
      <sz val="14"/>
      <name val="Arial Narrow"/>
      <family val="2"/>
      <charset val="186"/>
    </font>
    <font>
      <sz val="11"/>
      <color theme="1"/>
      <name val="Arial Narrow"/>
      <family val="2"/>
      <charset val="186"/>
    </font>
    <font>
      <b/>
      <u/>
      <sz val="14"/>
      <name val="Arial Narrow"/>
      <family val="2"/>
      <charset val="186"/>
    </font>
    <font>
      <sz val="11"/>
      <name val="Arial Narrow"/>
      <family val="2"/>
      <charset val="186"/>
    </font>
    <font>
      <b/>
      <sz val="12"/>
      <name val="Arial Narrow"/>
      <family val="2"/>
      <charset val="186"/>
    </font>
    <font>
      <b/>
      <sz val="11"/>
      <color theme="1"/>
      <name val="Arial Narrow"/>
      <family val="2"/>
      <charset val="186"/>
    </font>
    <font>
      <sz val="12"/>
      <name val="Arial Narrow"/>
      <family val="2"/>
      <charset val="186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Up="1" diagonalDown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rgb="FF414142"/>
      </left>
      <right style="thin">
        <color rgb="FF414142"/>
      </right>
      <top style="thin">
        <color rgb="FF414142"/>
      </top>
      <bottom style="thin">
        <color rgb="FF414142"/>
      </bottom>
      <diagonal/>
    </border>
    <border>
      <left/>
      <right/>
      <top/>
      <bottom style="thin">
        <color rgb="FF41414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1" xfId="0" applyNumberFormat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4" fillId="0" borderId="0" xfId="0" applyFont="1" applyAlignment="1">
      <alignment wrapText="1"/>
    </xf>
    <xf numFmtId="4" fontId="4" fillId="0" borderId="0" xfId="0" applyNumberFormat="1" applyFont="1" applyAlignment="1">
      <alignment wrapText="1"/>
    </xf>
    <xf numFmtId="4" fontId="0" fillId="0" borderId="7" xfId="0" applyNumberFormat="1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0" fillId="0" borderId="25" xfId="0" applyBorder="1" applyAlignment="1">
      <alignment vertical="center" wrapText="1"/>
    </xf>
    <xf numFmtId="0" fontId="2" fillId="2" borderId="30" xfId="0" applyFont="1" applyFill="1" applyBorder="1" applyAlignment="1">
      <alignment vertical="center" wrapText="1"/>
    </xf>
    <xf numFmtId="0" fontId="2" fillId="2" borderId="31" xfId="0" applyFont="1" applyFill="1" applyBorder="1" applyAlignment="1">
      <alignment vertical="center" wrapText="1"/>
    </xf>
    <xf numFmtId="4" fontId="2" fillId="2" borderId="31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3" borderId="0" xfId="0" applyFill="1"/>
    <xf numFmtId="0" fontId="8" fillId="0" borderId="0" xfId="0" applyFont="1"/>
    <xf numFmtId="4" fontId="2" fillId="4" borderId="1" xfId="0" applyNumberFormat="1" applyFont="1" applyFill="1" applyBorder="1" applyAlignment="1">
      <alignment vertical="center"/>
    </xf>
    <xf numFmtId="4" fontId="0" fillId="0" borderId="20" xfId="0" applyNumberFormat="1" applyBorder="1" applyAlignment="1">
      <alignment vertical="center" wrapText="1"/>
    </xf>
    <xf numFmtId="4" fontId="0" fillId="0" borderId="21" xfId="0" applyNumberFormat="1" applyBorder="1" applyAlignment="1">
      <alignment vertical="center" wrapText="1"/>
    </xf>
    <xf numFmtId="4" fontId="0" fillId="0" borderId="0" xfId="0" applyNumberFormat="1" applyAlignment="1">
      <alignment vertical="center"/>
    </xf>
    <xf numFmtId="4" fontId="2" fillId="2" borderId="36" xfId="0" applyNumberFormat="1" applyFont="1" applyFill="1" applyBorder="1" applyAlignment="1">
      <alignment horizontal="center" vertical="center" wrapText="1"/>
    </xf>
    <xf numFmtId="4" fontId="2" fillId="2" borderId="37" xfId="0" applyNumberFormat="1" applyFont="1" applyFill="1" applyBorder="1" applyAlignment="1">
      <alignment horizontal="center" vertical="center" wrapText="1"/>
    </xf>
    <xf numFmtId="4" fontId="2" fillId="2" borderId="38" xfId="0" applyNumberFormat="1" applyFont="1" applyFill="1" applyBorder="1" applyAlignment="1">
      <alignment horizontal="center" vertical="center" wrapText="1"/>
    </xf>
    <xf numFmtId="4" fontId="2" fillId="2" borderId="37" xfId="1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 wrapText="1"/>
    </xf>
    <xf numFmtId="4" fontId="2" fillId="2" borderId="39" xfId="0" applyNumberFormat="1" applyFont="1" applyFill="1" applyBorder="1" applyAlignment="1">
      <alignment horizontal="right" vertical="center" wrapText="1"/>
    </xf>
    <xf numFmtId="4" fontId="2" fillId="2" borderId="42" xfId="0" applyNumberFormat="1" applyFont="1" applyFill="1" applyBorder="1" applyAlignment="1">
      <alignment horizontal="center" vertical="center" wrapText="1"/>
    </xf>
    <xf numFmtId="4" fontId="0" fillId="3" borderId="35" xfId="0" applyNumberFormat="1" applyFill="1" applyBorder="1" applyAlignment="1">
      <alignment vertical="center"/>
    </xf>
    <xf numFmtId="4" fontId="0" fillId="3" borderId="0" xfId="0" applyNumberFormat="1" applyFill="1" applyAlignment="1">
      <alignment vertical="center"/>
    </xf>
    <xf numFmtId="0" fontId="2" fillId="2" borderId="9" xfId="0" applyFont="1" applyFill="1" applyBorder="1" applyAlignment="1">
      <alignment horizontal="center" vertical="center" wrapText="1"/>
    </xf>
    <xf numFmtId="0" fontId="4" fillId="0" borderId="49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3" fontId="0" fillId="0" borderId="1" xfId="0" applyNumberFormat="1" applyBorder="1" applyAlignment="1">
      <alignment horizontal="right" vertical="center" wrapText="1"/>
    </xf>
    <xf numFmtId="10" fontId="0" fillId="0" borderId="1" xfId="1" applyNumberFormat="1" applyFont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left" vertical="center" wrapText="1"/>
    </xf>
    <xf numFmtId="3" fontId="2" fillId="9" borderId="1" xfId="0" applyNumberFormat="1" applyFont="1" applyFill="1" applyBorder="1" applyAlignment="1">
      <alignment horizontal="right" vertical="center" wrapText="1"/>
    </xf>
    <xf numFmtId="4" fontId="2" fillId="9" borderId="1" xfId="0" applyNumberFormat="1" applyFont="1" applyFill="1" applyBorder="1" applyAlignment="1">
      <alignment horizontal="right" vertical="center" wrapText="1"/>
    </xf>
    <xf numFmtId="0" fontId="0" fillId="0" borderId="7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4" fontId="0" fillId="0" borderId="7" xfId="0" applyNumberFormat="1" applyBorder="1" applyAlignment="1">
      <alignment horizontal="center" vertical="center" wrapText="1"/>
    </xf>
    <xf numFmtId="4" fontId="0" fillId="0" borderId="6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4" fontId="0" fillId="0" borderId="40" xfId="0" applyNumberFormat="1" applyBorder="1" applyAlignment="1">
      <alignment horizontal="center" vertical="center" wrapText="1"/>
    </xf>
    <xf numFmtId="10" fontId="0" fillId="0" borderId="6" xfId="1" applyNumberFormat="1" applyFont="1" applyFill="1" applyBorder="1" applyAlignment="1">
      <alignment horizontal="center" vertical="center" wrapText="1"/>
    </xf>
    <xf numFmtId="4" fontId="0" fillId="0" borderId="6" xfId="0" applyNumberFormat="1" applyBorder="1" applyAlignment="1">
      <alignment horizontal="right"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0" fillId="0" borderId="21" xfId="0" applyNumberFormat="1" applyBorder="1" applyAlignment="1">
      <alignment horizontal="center" vertical="center" wrapText="1"/>
    </xf>
    <xf numFmtId="4" fontId="0" fillId="0" borderId="7" xfId="0" applyNumberFormat="1" applyBorder="1" applyAlignment="1">
      <alignment horizontal="right" vertical="center" wrapText="1"/>
    </xf>
    <xf numFmtId="16" fontId="4" fillId="0" borderId="7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40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4" fillId="0" borderId="7" xfId="0" applyFont="1" applyBorder="1" applyAlignment="1">
      <alignment horizontal="right" vertical="center" wrapText="1"/>
    </xf>
    <xf numFmtId="4" fontId="0" fillId="0" borderId="19" xfId="0" applyNumberFormat="1" applyBorder="1" applyAlignment="1">
      <alignment horizontal="center" vertical="center" wrapText="1"/>
    </xf>
    <xf numFmtId="4" fontId="0" fillId="0" borderId="20" xfId="0" applyNumberFormat="1" applyBorder="1" applyAlignment="1">
      <alignment horizontal="center" vertical="center" wrapText="1"/>
    </xf>
    <xf numFmtId="4" fontId="0" fillId="0" borderId="28" xfId="0" applyNumberFormat="1" applyBorder="1" applyAlignment="1">
      <alignment horizontal="center" vertical="center" wrapText="1"/>
    </xf>
    <xf numFmtId="4" fontId="0" fillId="0" borderId="29" xfId="0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4" fontId="0" fillId="0" borderId="41" xfId="0" applyNumberFormat="1" applyBorder="1" applyAlignment="1">
      <alignment horizontal="center" vertical="center" wrapText="1"/>
    </xf>
    <xf numFmtId="4" fontId="0" fillId="0" borderId="29" xfId="0" applyNumberFormat="1" applyBorder="1" applyAlignment="1">
      <alignment horizontal="right" vertical="center" wrapText="1"/>
    </xf>
    <xf numFmtId="4" fontId="4" fillId="0" borderId="10" xfId="0" applyNumberFormat="1" applyFont="1" applyBorder="1" applyAlignment="1">
      <alignment vertical="center" wrapText="1"/>
    </xf>
    <xf numFmtId="4" fontId="0" fillId="0" borderId="5" xfId="0" applyNumberFormat="1" applyBorder="1" applyAlignment="1">
      <alignment vertical="center" wrapText="1"/>
    </xf>
    <xf numFmtId="4" fontId="0" fillId="0" borderId="17" xfId="0" applyNumberFormat="1" applyBorder="1" applyAlignment="1">
      <alignment vertical="center" wrapText="1"/>
    </xf>
    <xf numFmtId="4" fontId="0" fillId="0" borderId="3" xfId="0" applyNumberFormat="1" applyBorder="1" applyAlignment="1">
      <alignment vertical="center" wrapText="1"/>
    </xf>
    <xf numFmtId="4" fontId="0" fillId="0" borderId="18" xfId="0" applyNumberFormat="1" applyBorder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0" fillId="0" borderId="6" xfId="0" applyNumberForma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0" fontId="4" fillId="0" borderId="23" xfId="0" applyFont="1" applyBorder="1" applyAlignment="1">
      <alignment horizontal="right" vertical="center" wrapText="1"/>
    </xf>
    <xf numFmtId="4" fontId="4" fillId="0" borderId="46" xfId="0" applyNumberFormat="1" applyFont="1" applyBorder="1" applyAlignment="1">
      <alignment vertical="center" wrapText="1"/>
    </xf>
    <xf numFmtId="4" fontId="0" fillId="0" borderId="8" xfId="0" applyNumberFormat="1" applyBorder="1" applyAlignment="1">
      <alignment vertical="center" wrapText="1"/>
    </xf>
    <xf numFmtId="4" fontId="0" fillId="0" borderId="9" xfId="0" applyNumberFormat="1" applyBorder="1" applyAlignment="1">
      <alignment vertical="center" wrapText="1"/>
    </xf>
    <xf numFmtId="4" fontId="0" fillId="0" borderId="15" xfId="0" applyNumberFormat="1" applyBorder="1" applyAlignment="1">
      <alignment vertical="center" wrapText="1"/>
    </xf>
    <xf numFmtId="4" fontId="0" fillId="0" borderId="17" xfId="0" applyNumberFormat="1" applyBorder="1" applyAlignment="1">
      <alignment vertical="center"/>
    </xf>
    <xf numFmtId="4" fontId="0" fillId="0" borderId="33" xfId="0" applyNumberFormat="1" applyBorder="1" applyAlignment="1">
      <alignment vertical="center"/>
    </xf>
    <xf numFmtId="4" fontId="0" fillId="0" borderId="7" xfId="0" applyNumberFormat="1" applyBorder="1" applyAlignment="1">
      <alignment vertical="center"/>
    </xf>
    <xf numFmtId="4" fontId="0" fillId="0" borderId="20" xfId="0" applyNumberFormat="1" applyBorder="1" applyAlignment="1">
      <alignment vertical="center"/>
    </xf>
    <xf numFmtId="4" fontId="0" fillId="0" borderId="6" xfId="0" applyNumberFormat="1" applyBorder="1" applyAlignment="1">
      <alignment vertical="center"/>
    </xf>
    <xf numFmtId="4" fontId="0" fillId="0" borderId="18" xfId="0" applyNumberFormat="1" applyBorder="1" applyAlignment="1">
      <alignment vertical="center"/>
    </xf>
    <xf numFmtId="4" fontId="4" fillId="0" borderId="7" xfId="0" applyNumberFormat="1" applyFont="1" applyBorder="1" applyAlignment="1">
      <alignment vertical="center"/>
    </xf>
    <xf numFmtId="4" fontId="4" fillId="0" borderId="6" xfId="0" applyNumberFormat="1" applyFont="1" applyBorder="1" applyAlignment="1">
      <alignment vertical="center"/>
    </xf>
    <xf numFmtId="4" fontId="4" fillId="0" borderId="20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4" fontId="0" fillId="0" borderId="21" xfId="0" applyNumberFormat="1" applyBorder="1" applyAlignment="1">
      <alignment vertical="center"/>
    </xf>
    <xf numFmtId="0" fontId="0" fillId="0" borderId="50" xfId="0" applyBorder="1" applyAlignment="1">
      <alignment vertical="center" wrapText="1"/>
    </xf>
    <xf numFmtId="4" fontId="0" fillId="0" borderId="28" xfId="0" applyNumberFormat="1" applyBorder="1" applyAlignment="1">
      <alignment vertical="center"/>
    </xf>
    <xf numFmtId="4" fontId="0" fillId="0" borderId="29" xfId="0" applyNumberFormat="1" applyBorder="1" applyAlignment="1">
      <alignment vertical="center"/>
    </xf>
    <xf numFmtId="4" fontId="0" fillId="0" borderId="51" xfId="0" applyNumberFormat="1" applyBorder="1" applyAlignment="1">
      <alignment vertical="center"/>
    </xf>
    <xf numFmtId="10" fontId="4" fillId="0" borderId="30" xfId="1" applyNumberFormat="1" applyFont="1" applyFill="1" applyBorder="1" applyAlignment="1">
      <alignment horizontal="center" vertical="center"/>
    </xf>
    <xf numFmtId="10" fontId="4" fillId="0" borderId="32" xfId="0" applyNumberFormat="1" applyFont="1" applyBorder="1" applyAlignment="1">
      <alignment horizontal="center" vertical="center"/>
    </xf>
    <xf numFmtId="10" fontId="4" fillId="0" borderId="31" xfId="0" applyNumberFormat="1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0" fillId="0" borderId="1" xfId="0" applyBorder="1" applyAlignment="1">
      <alignment horizontal="justify" vertical="center" wrapText="1"/>
    </xf>
    <xf numFmtId="10" fontId="0" fillId="0" borderId="1" xfId="1" applyNumberFormat="1" applyFont="1" applyFill="1" applyBorder="1" applyAlignment="1">
      <alignment horizontal="center" vertical="center" wrapText="1"/>
    </xf>
    <xf numFmtId="4" fontId="0" fillId="0" borderId="35" xfId="0" applyNumberFormat="1" applyBorder="1" applyAlignment="1">
      <alignment vertical="center"/>
    </xf>
    <xf numFmtId="0" fontId="13" fillId="0" borderId="0" xfId="0" applyFont="1" applyAlignment="1">
      <alignment vertical="center" wrapText="1"/>
    </xf>
    <xf numFmtId="0" fontId="16" fillId="5" borderId="52" xfId="0" applyFont="1" applyFill="1" applyBorder="1" applyAlignment="1">
      <alignment horizontal="center" vertical="center" wrapText="1"/>
    </xf>
    <xf numFmtId="0" fontId="17" fillId="5" borderId="52" xfId="0" applyFont="1" applyFill="1" applyBorder="1" applyAlignment="1">
      <alignment horizontal="center" vertical="center" wrapText="1"/>
    </xf>
    <xf numFmtId="4" fontId="17" fillId="5" borderId="52" xfId="0" applyNumberFormat="1" applyFont="1" applyFill="1" applyBorder="1" applyAlignment="1">
      <alignment vertical="center" wrapText="1"/>
    </xf>
    <xf numFmtId="0" fontId="18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7" fillId="0" borderId="52" xfId="0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0" fontId="23" fillId="8" borderId="1" xfId="0" applyFont="1" applyFill="1" applyBorder="1" applyAlignment="1">
      <alignment horizontal="center" vertical="center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vertical="center"/>
    </xf>
    <xf numFmtId="0" fontId="23" fillId="8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 indent="3"/>
    </xf>
    <xf numFmtId="4" fontId="25" fillId="0" borderId="1" xfId="0" applyNumberFormat="1" applyFont="1" applyBorder="1" applyAlignment="1">
      <alignment vertical="center"/>
    </xf>
    <xf numFmtId="4" fontId="23" fillId="0" borderId="1" xfId="0" applyNumberFormat="1" applyFont="1" applyBorder="1" applyAlignment="1">
      <alignment vertical="center"/>
    </xf>
    <xf numFmtId="10" fontId="25" fillId="0" borderId="1" xfId="1" applyNumberFormat="1" applyFont="1" applyFill="1" applyBorder="1" applyAlignment="1">
      <alignment horizontal="right" vertical="center" wrapText="1"/>
    </xf>
    <xf numFmtId="9" fontId="20" fillId="0" borderId="1" xfId="1" applyFont="1" applyBorder="1" applyAlignment="1">
      <alignment horizontal="center" vertical="center"/>
    </xf>
    <xf numFmtId="0" fontId="23" fillId="7" borderId="1" xfId="0" applyFont="1" applyFill="1" applyBorder="1" applyAlignment="1">
      <alignment horizontal="left" vertical="center" wrapText="1" indent="2"/>
    </xf>
    <xf numFmtId="4" fontId="23" fillId="7" borderId="1" xfId="0" applyNumberFormat="1" applyFont="1" applyFill="1" applyBorder="1" applyAlignment="1">
      <alignment vertical="center"/>
    </xf>
    <xf numFmtId="10" fontId="23" fillId="7" borderId="1" xfId="1" applyNumberFormat="1" applyFont="1" applyFill="1" applyBorder="1" applyAlignment="1">
      <alignment horizontal="right" vertical="center" wrapText="1"/>
    </xf>
    <xf numFmtId="0" fontId="25" fillId="0" borderId="1" xfId="0" applyFont="1" applyBorder="1" applyAlignment="1">
      <alignment horizontal="left" vertical="center" wrapText="1" indent="2"/>
    </xf>
    <xf numFmtId="0" fontId="23" fillId="6" borderId="1" xfId="0" applyFont="1" applyFill="1" applyBorder="1" applyAlignment="1">
      <alignment horizontal="left" vertical="center" wrapText="1" indent="1"/>
    </xf>
    <xf numFmtId="4" fontId="23" fillId="6" borderId="1" xfId="0" applyNumberFormat="1" applyFont="1" applyFill="1" applyBorder="1" applyAlignment="1">
      <alignment vertical="center"/>
    </xf>
    <xf numFmtId="10" fontId="25" fillId="6" borderId="1" xfId="1" applyNumberFormat="1" applyFont="1" applyFill="1" applyBorder="1" applyAlignment="1">
      <alignment horizontal="right" vertical="center" wrapText="1"/>
    </xf>
    <xf numFmtId="10" fontId="23" fillId="6" borderId="1" xfId="1" applyNumberFormat="1" applyFont="1" applyFill="1" applyBorder="1" applyAlignment="1">
      <alignment horizontal="right" vertical="center" wrapText="1"/>
    </xf>
    <xf numFmtId="0" fontId="23" fillId="8" borderId="1" xfId="0" applyFont="1" applyFill="1" applyBorder="1" applyAlignment="1">
      <alignment horizontal="left" vertical="center" wrapText="1"/>
    </xf>
    <xf numFmtId="4" fontId="23" fillId="8" borderId="1" xfId="0" applyNumberFormat="1" applyFont="1" applyFill="1" applyBorder="1" applyAlignment="1">
      <alignment vertical="center"/>
    </xf>
    <xf numFmtId="10" fontId="23" fillId="8" borderId="1" xfId="1" applyNumberFormat="1" applyFont="1" applyFill="1" applyBorder="1" applyAlignment="1">
      <alignment horizontal="right" vertical="center" wrapText="1"/>
    </xf>
    <xf numFmtId="0" fontId="20" fillId="0" borderId="1" xfId="0" applyFont="1" applyBorder="1" applyAlignment="1">
      <alignment vertical="center"/>
    </xf>
    <xf numFmtId="43" fontId="20" fillId="0" borderId="1" xfId="2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12" fillId="0" borderId="34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 wrapText="1"/>
    </xf>
    <xf numFmtId="0" fontId="15" fillId="0" borderId="53" xfId="0" applyFont="1" applyBorder="1" applyAlignment="1">
      <alignment horizontal="center" vertical="center"/>
    </xf>
    <xf numFmtId="0" fontId="19" fillId="6" borderId="40" xfId="0" applyFont="1" applyFill="1" applyBorder="1" applyAlignment="1">
      <alignment horizontal="center" vertical="center"/>
    </xf>
    <xf numFmtId="0" fontId="19" fillId="6" borderId="54" xfId="0" applyFont="1" applyFill="1" applyBorder="1" applyAlignment="1">
      <alignment horizontal="center" vertical="center"/>
    </xf>
    <xf numFmtId="0" fontId="19" fillId="6" borderId="45" xfId="0" applyFont="1" applyFill="1" applyBorder="1" applyAlignment="1">
      <alignment horizontal="center" vertical="center"/>
    </xf>
    <xf numFmtId="0" fontId="23" fillId="8" borderId="2" xfId="0" applyFont="1" applyFill="1" applyBorder="1" applyAlignment="1">
      <alignment horizontal="center" vertical="center"/>
    </xf>
    <xf numFmtId="0" fontId="23" fillId="8" borderId="3" xfId="0" applyFont="1" applyFill="1" applyBorder="1" applyAlignment="1">
      <alignment horizontal="center" vertical="center"/>
    </xf>
    <xf numFmtId="0" fontId="23" fillId="8" borderId="1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4" fillId="0" borderId="55" xfId="0" applyFont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430"/>
  <sheetViews>
    <sheetView view="pageBreakPreview" zoomScaleNormal="100" zoomScaleSheetLayoutView="100" zoomScalePageLayoutView="40" workbookViewId="0">
      <pane xSplit="2" ySplit="3" topLeftCell="C5" activePane="bottomRight" state="frozen"/>
      <selection pane="topRight" activeCell="C1" sqref="C1"/>
      <selection pane="bottomLeft" activeCell="A4" sqref="A4"/>
      <selection pane="bottomRight" activeCell="B13" sqref="B13"/>
    </sheetView>
  </sheetViews>
  <sheetFormatPr defaultRowHeight="14.4" outlineLevelRow="1" x14ac:dyDescent="0.3"/>
  <cols>
    <col min="2" max="2" width="38" customWidth="1"/>
    <col min="3" max="11" width="12.77734375" customWidth="1"/>
    <col min="12" max="12" width="18.44140625" customWidth="1"/>
    <col min="13" max="13" width="13.44140625" customWidth="1"/>
    <col min="14" max="15" width="13.21875" customWidth="1"/>
    <col min="16" max="16" width="42.21875" customWidth="1"/>
    <col min="18" max="18" width="9.77734375" bestFit="1" customWidth="1"/>
  </cols>
  <sheetData>
    <row r="1" spans="1:46" s="5" customFormat="1" ht="53.25" customHeight="1" thickBot="1" x14ac:dyDescent="0.35">
      <c r="A1" s="156" t="s">
        <v>71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</row>
    <row r="2" spans="1:46" ht="29.25" customHeight="1" x14ac:dyDescent="0.3">
      <c r="A2" s="157" t="s">
        <v>21</v>
      </c>
      <c r="B2" s="152" t="s">
        <v>4</v>
      </c>
      <c r="C2" s="159" t="s">
        <v>31</v>
      </c>
      <c r="D2" s="152" t="s">
        <v>56</v>
      </c>
      <c r="E2" s="161" t="s">
        <v>9</v>
      </c>
      <c r="F2" s="162"/>
      <c r="G2" s="163"/>
      <c r="H2" s="164" t="s">
        <v>8</v>
      </c>
      <c r="I2" s="162"/>
      <c r="J2" s="163"/>
      <c r="K2" s="154" t="s">
        <v>70</v>
      </c>
      <c r="L2" s="152" t="s">
        <v>19</v>
      </c>
      <c r="M2" s="165" t="s">
        <v>86</v>
      </c>
      <c r="N2" s="159" t="s">
        <v>79</v>
      </c>
      <c r="O2" s="152" t="s">
        <v>80</v>
      </c>
      <c r="P2" s="152" t="s">
        <v>10</v>
      </c>
    </row>
    <row r="3" spans="1:46" ht="58.2" thickBot="1" x14ac:dyDescent="0.35">
      <c r="A3" s="158"/>
      <c r="B3" s="153"/>
      <c r="C3" s="160"/>
      <c r="D3" s="153"/>
      <c r="E3" s="15" t="s">
        <v>35</v>
      </c>
      <c r="F3" s="16" t="s">
        <v>17</v>
      </c>
      <c r="G3" s="16" t="s">
        <v>18</v>
      </c>
      <c r="H3" s="16" t="s">
        <v>35</v>
      </c>
      <c r="I3" s="16" t="s">
        <v>17</v>
      </c>
      <c r="J3" s="16" t="s">
        <v>18</v>
      </c>
      <c r="K3" s="155"/>
      <c r="L3" s="153"/>
      <c r="M3" s="166"/>
      <c r="N3" s="160"/>
      <c r="O3" s="153"/>
      <c r="P3" s="153"/>
    </row>
    <row r="4" spans="1:46" s="4" customFormat="1" ht="31.5" customHeight="1" x14ac:dyDescent="0.3">
      <c r="A4" s="54" t="s">
        <v>20</v>
      </c>
      <c r="B4" s="55" t="str">
        <f>'Pamata infrastruktūra'!A4</f>
        <v>Uzņemšanas nodaļa</v>
      </c>
      <c r="C4" s="56">
        <f>'Pamata infrastruktūra'!B4</f>
        <v>400</v>
      </c>
      <c r="D4" s="57">
        <f>'Pamata infrastruktūra'!C4</f>
        <v>8760</v>
      </c>
      <c r="E4" s="56">
        <f>'Pamata infrastruktūra'!D4</f>
        <v>10000</v>
      </c>
      <c r="F4" s="58">
        <f>'Pamata infrastruktūra'!E4</f>
        <v>4</v>
      </c>
      <c r="G4" s="58">
        <f>ROUND(E4*F4,2)</f>
        <v>40000</v>
      </c>
      <c r="H4" s="58">
        <f>'Pamata infrastruktūra'!F4</f>
        <v>100</v>
      </c>
      <c r="I4" s="58">
        <f>'Pamata infrastruktūra'!G4</f>
        <v>4</v>
      </c>
      <c r="J4" s="58">
        <f>ROUND(H4*I4,2)</f>
        <v>400</v>
      </c>
      <c r="K4" s="59">
        <v>0</v>
      </c>
      <c r="L4" s="60">
        <f>IF(G4=0,0,ROUND(G4/(G4+J4+K4),4))</f>
        <v>0.99009999999999998</v>
      </c>
      <c r="M4" s="61">
        <v>300000</v>
      </c>
      <c r="N4" s="62">
        <f t="shared" ref="N4:N7" si="0">IF((G4+J4+K4)&gt;0,ROUND(G4/(G4+J4+K4)*M4,2),0)</f>
        <v>297029.7</v>
      </c>
      <c r="O4" s="61">
        <f t="shared" ref="O4" si="1">M4-N4</f>
        <v>2970.2999999999884</v>
      </c>
      <c r="P4" s="61"/>
      <c r="R4" s="4">
        <f>C4*D4*L4</f>
        <v>3469310.4</v>
      </c>
      <c r="S4" s="4">
        <f>C4*D4</f>
        <v>3504000</v>
      </c>
      <c r="AT4" s="4" t="s">
        <v>16</v>
      </c>
    </row>
    <row r="5" spans="1:46" s="4" customFormat="1" ht="31.5" customHeight="1" x14ac:dyDescent="0.3">
      <c r="A5" s="54" t="s">
        <v>22</v>
      </c>
      <c r="B5" s="55" t="str">
        <f>'Pamata infrastruktūra'!A5</f>
        <v>Operāciju bloks</v>
      </c>
      <c r="C5" s="56">
        <f>'Pamata infrastruktūra'!B5</f>
        <v>800</v>
      </c>
      <c r="D5" s="57">
        <f>'Pamata infrastruktūra'!C5</f>
        <v>2920</v>
      </c>
      <c r="E5" s="56">
        <f>'Pamata infrastruktūra'!D5</f>
        <v>2000</v>
      </c>
      <c r="F5" s="58">
        <f>'Pamata infrastruktūra'!E5</f>
        <v>4</v>
      </c>
      <c r="G5" s="58">
        <f t="shared" ref="G5:G10" si="2">ROUND(E5*F5,2)</f>
        <v>8000</v>
      </c>
      <c r="H5" s="58">
        <f>'Pamata infrastruktūra'!F5</f>
        <v>500</v>
      </c>
      <c r="I5" s="58">
        <f>'Pamata infrastruktūra'!G5</f>
        <v>2</v>
      </c>
      <c r="J5" s="58">
        <f>ROUND(H5*I5,2)</f>
        <v>1000</v>
      </c>
      <c r="K5" s="59">
        <v>0</v>
      </c>
      <c r="L5" s="60">
        <f t="shared" ref="L5:L6" si="3">IF(G5=0,0,ROUND(G5/(G5+J5+K5),4))</f>
        <v>0.88890000000000002</v>
      </c>
      <c r="M5" s="61">
        <v>0</v>
      </c>
      <c r="N5" s="62">
        <f t="shared" si="0"/>
        <v>0</v>
      </c>
      <c r="O5" s="61">
        <f t="shared" ref="O5:O7" si="4">M5-N5</f>
        <v>0</v>
      </c>
      <c r="P5" s="61"/>
      <c r="R5" s="4">
        <f>C5*D5*L5</f>
        <v>2076470.4000000001</v>
      </c>
      <c r="S5" s="4">
        <f>C5*D5</f>
        <v>2336000</v>
      </c>
      <c r="AT5" s="4" t="s">
        <v>16</v>
      </c>
    </row>
    <row r="6" spans="1:46" s="4" customFormat="1" ht="31.5" customHeight="1" x14ac:dyDescent="0.3">
      <c r="A6" s="54" t="s">
        <v>23</v>
      </c>
      <c r="B6" s="55" t="str">
        <f>'Pamata infrastruktūra'!A6</f>
        <v>Reanimācijas nodaļa</v>
      </c>
      <c r="C6" s="56">
        <f>'Pamata infrastruktūra'!B6</f>
        <v>200</v>
      </c>
      <c r="D6" s="57">
        <f>'Pamata infrastruktūra'!C6</f>
        <v>8760</v>
      </c>
      <c r="E6" s="56">
        <f>'Pamata infrastruktūra'!D6</f>
        <v>500</v>
      </c>
      <c r="F6" s="58">
        <f>'Pamata infrastruktūra'!E6</f>
        <v>72</v>
      </c>
      <c r="G6" s="58">
        <f>ROUND(E6*F6,2)</f>
        <v>36000</v>
      </c>
      <c r="H6" s="58">
        <f>'Pamata infrastruktūra'!F6</f>
        <v>10</v>
      </c>
      <c r="I6" s="58">
        <f>'Pamata infrastruktūra'!G6</f>
        <v>48</v>
      </c>
      <c r="J6" s="58">
        <f t="shared" ref="J6" si="5">ROUND(H6*I6,2)</f>
        <v>480</v>
      </c>
      <c r="K6" s="59">
        <v>0</v>
      </c>
      <c r="L6" s="60">
        <f t="shared" si="3"/>
        <v>0.98680000000000001</v>
      </c>
      <c r="M6" s="61">
        <v>100000</v>
      </c>
      <c r="N6" s="62">
        <f t="shared" si="0"/>
        <v>98684.21</v>
      </c>
      <c r="O6" s="61">
        <f t="shared" si="4"/>
        <v>1315.7899999999936</v>
      </c>
      <c r="P6" s="61"/>
      <c r="R6" s="4">
        <f>SUM(R4:R5)</f>
        <v>5545780.7999999998</v>
      </c>
      <c r="S6" s="4">
        <f>SUM(S4:S5)</f>
        <v>5840000</v>
      </c>
      <c r="AT6" s="4" t="s">
        <v>16</v>
      </c>
    </row>
    <row r="7" spans="1:46" s="4" customFormat="1" ht="31.5" customHeight="1" x14ac:dyDescent="0.3">
      <c r="A7" s="54" t="s">
        <v>24</v>
      </c>
      <c r="B7" s="55" t="str">
        <f>'Pamata infrastruktūra'!A7</f>
        <v>Dzemdību nodaļa</v>
      </c>
      <c r="C7" s="56">
        <f>'Pamata infrastruktūra'!B7</f>
        <v>400</v>
      </c>
      <c r="D7" s="57">
        <f>'Pamata infrastruktūra'!C7</f>
        <v>8760</v>
      </c>
      <c r="E7" s="56">
        <f>'Pamata infrastruktūra'!D7</f>
        <v>300</v>
      </c>
      <c r="F7" s="58">
        <f>'Pamata infrastruktūra'!E7</f>
        <v>72</v>
      </c>
      <c r="G7" s="58">
        <f>ROUND(E7*F7,2)</f>
        <v>21600</v>
      </c>
      <c r="H7" s="58">
        <f>'Pamata infrastruktūra'!F7</f>
        <v>10</v>
      </c>
      <c r="I7" s="58">
        <f>'Pamata infrastruktūra'!G7</f>
        <v>72</v>
      </c>
      <c r="J7" s="58">
        <f>ROUND(H7*I7,2)</f>
        <v>720</v>
      </c>
      <c r="K7" s="59">
        <v>0</v>
      </c>
      <c r="L7" s="60">
        <f>IF(G7=0,0,ROUND(G7/(G7+J7+K7),4))</f>
        <v>0.9677</v>
      </c>
      <c r="M7" s="61">
        <v>0</v>
      </c>
      <c r="N7" s="62">
        <f t="shared" si="0"/>
        <v>0</v>
      </c>
      <c r="O7" s="61">
        <f t="shared" si="4"/>
        <v>0</v>
      </c>
      <c r="P7" s="61"/>
      <c r="R7" s="4">
        <f>R6/S6</f>
        <v>0.94962000000000002</v>
      </c>
      <c r="AT7" s="4" t="s">
        <v>16</v>
      </c>
    </row>
    <row r="8" spans="1:46" s="4" customFormat="1" ht="31.5" customHeight="1" x14ac:dyDescent="0.3">
      <c r="A8" s="54" t="s">
        <v>25</v>
      </c>
      <c r="B8" s="55" t="str">
        <f>'Pamata infrastruktūra'!A8</f>
        <v>Citas atbalstāmās struktūrvienības</v>
      </c>
      <c r="C8" s="56">
        <f>C9+C10</f>
        <v>3000</v>
      </c>
      <c r="D8" s="63"/>
      <c r="E8" s="56">
        <f>E9+E10</f>
        <v>7500</v>
      </c>
      <c r="F8" s="58">
        <f>IF(E8=0,0,ROUND(G8/E8,2))</f>
        <v>168</v>
      </c>
      <c r="G8" s="58">
        <f>G9+G10</f>
        <v>1260000</v>
      </c>
      <c r="H8" s="58">
        <f>H9+H10</f>
        <v>1500</v>
      </c>
      <c r="I8" s="58">
        <f>IF(H8=0,0,ROUND(J8/H8,2))</f>
        <v>120</v>
      </c>
      <c r="J8" s="58">
        <f>J9+J10</f>
        <v>180000</v>
      </c>
      <c r="K8" s="59">
        <v>0</v>
      </c>
      <c r="L8" s="60">
        <f t="shared" ref="L8:L23" si="6">IF(G8=0,0,ROUND(G8/(G8+J8+K8),4))</f>
        <v>0.875</v>
      </c>
      <c r="M8" s="61">
        <f>SUM(M9:M10)</f>
        <v>400000</v>
      </c>
      <c r="N8" s="64">
        <f>SUM(N9:N10)</f>
        <v>350000</v>
      </c>
      <c r="O8" s="61">
        <f>SUM(O9:O10)</f>
        <v>50000</v>
      </c>
      <c r="P8" s="61"/>
    </row>
    <row r="9" spans="1:46" s="72" customFormat="1" ht="31.5" customHeight="1" outlineLevel="1" x14ac:dyDescent="0.3">
      <c r="A9" s="65" t="s">
        <v>37</v>
      </c>
      <c r="B9" s="66" t="str">
        <f>'Pamata infrastruktūra'!A9</f>
        <v>Ķirurģijas nodaļa</v>
      </c>
      <c r="C9" s="67">
        <f>'Pamata infrastruktūra'!B9</f>
        <v>1000</v>
      </c>
      <c r="D9" s="68">
        <f>'Pamata infrastruktūra'!C9</f>
        <v>8760</v>
      </c>
      <c r="E9" s="67">
        <f>'Pamata infrastruktūra'!D9</f>
        <v>2500</v>
      </c>
      <c r="F9" s="69">
        <f>'Pamata infrastruktūra'!E9</f>
        <v>168</v>
      </c>
      <c r="G9" s="69">
        <f t="shared" si="2"/>
        <v>420000</v>
      </c>
      <c r="H9" s="69">
        <f>'Pamata infrastruktūra'!F9</f>
        <v>500</v>
      </c>
      <c r="I9" s="69">
        <f>'Pamata infrastruktūra'!G9</f>
        <v>120</v>
      </c>
      <c r="J9" s="69">
        <f t="shared" ref="J9:J13" si="7">ROUND(H9*I9,2)</f>
        <v>60000</v>
      </c>
      <c r="K9" s="70">
        <v>0</v>
      </c>
      <c r="L9" s="60">
        <f t="shared" si="6"/>
        <v>0.875</v>
      </c>
      <c r="M9" s="71">
        <v>400000</v>
      </c>
      <c r="N9" s="62">
        <f t="shared" ref="N9:N13" si="8">IF((G9+J9+K9)&gt;0,ROUND(G9/(G9+J9+K9)*M9,2),0)</f>
        <v>350000</v>
      </c>
      <c r="O9" s="71">
        <f t="shared" ref="O9:O19" si="9">M9-N9</f>
        <v>50000</v>
      </c>
      <c r="P9" s="71"/>
      <c r="AT9" s="72" t="s">
        <v>16</v>
      </c>
    </row>
    <row r="10" spans="1:46" s="72" customFormat="1" ht="31.5" customHeight="1" outlineLevel="1" x14ac:dyDescent="0.3">
      <c r="A10" s="73" t="s">
        <v>72</v>
      </c>
      <c r="B10" s="66" t="str">
        <f>'Pamata infrastruktūra'!A10</f>
        <v>Terapijas nodaļa</v>
      </c>
      <c r="C10" s="67">
        <f>'Pamata infrastruktūra'!B10</f>
        <v>2000</v>
      </c>
      <c r="D10" s="68">
        <f>'Pamata infrastruktūra'!C10</f>
        <v>8760</v>
      </c>
      <c r="E10" s="67">
        <f>'Pamata infrastruktūra'!D10</f>
        <v>5000</v>
      </c>
      <c r="F10" s="69">
        <f>'Pamata infrastruktūra'!E10</f>
        <v>168</v>
      </c>
      <c r="G10" s="69">
        <f t="shared" si="2"/>
        <v>840000</v>
      </c>
      <c r="H10" s="69">
        <f>'Pamata infrastruktūra'!F10</f>
        <v>1000</v>
      </c>
      <c r="I10" s="69">
        <f>'Pamata infrastruktūra'!G10</f>
        <v>120</v>
      </c>
      <c r="J10" s="69">
        <f>ROUND(H10*I10,2)</f>
        <v>120000</v>
      </c>
      <c r="K10" s="70">
        <v>0</v>
      </c>
      <c r="L10" s="60">
        <f t="shared" si="6"/>
        <v>0.875</v>
      </c>
      <c r="M10" s="71">
        <v>0</v>
      </c>
      <c r="N10" s="62">
        <f t="shared" si="8"/>
        <v>0</v>
      </c>
      <c r="O10" s="71">
        <f t="shared" ref="O10" si="10">M10-N10</f>
        <v>0</v>
      </c>
      <c r="P10" s="71"/>
      <c r="AT10" s="72" t="s">
        <v>16</v>
      </c>
    </row>
    <row r="11" spans="1:46" s="4" customFormat="1" ht="31.5" customHeight="1" x14ac:dyDescent="0.3">
      <c r="A11" s="54" t="s">
        <v>26</v>
      </c>
      <c r="B11" s="55" t="str">
        <f>'Pamata infrastruktūra'!A11</f>
        <v>Dienas stacionārs*</v>
      </c>
      <c r="C11" s="56">
        <f>'Pamata infrastruktūra'!B11</f>
        <v>200</v>
      </c>
      <c r="D11" s="57">
        <f>'Pamata infrastruktūra'!C11</f>
        <v>3650</v>
      </c>
      <c r="E11" s="56">
        <f>'Pamata infrastruktūra'!D11</f>
        <v>4000</v>
      </c>
      <c r="F11" s="58">
        <f>'Pamata infrastruktūra'!E11</f>
        <v>4</v>
      </c>
      <c r="G11" s="58">
        <f>ROUND(E11*F11,2)</f>
        <v>16000</v>
      </c>
      <c r="H11" s="58">
        <f>'Pamata infrastruktūra'!F11</f>
        <v>2000</v>
      </c>
      <c r="I11" s="58">
        <f>'Pamata infrastruktūra'!G11</f>
        <v>4</v>
      </c>
      <c r="J11" s="69">
        <f t="shared" si="7"/>
        <v>8000</v>
      </c>
      <c r="K11" s="59">
        <v>0</v>
      </c>
      <c r="L11" s="60">
        <f t="shared" si="6"/>
        <v>0.66669999999999996</v>
      </c>
      <c r="M11" s="61">
        <v>0</v>
      </c>
      <c r="N11" s="62">
        <f t="shared" si="8"/>
        <v>0</v>
      </c>
      <c r="O11" s="61">
        <f t="shared" si="9"/>
        <v>0</v>
      </c>
      <c r="P11" s="61"/>
      <c r="AT11" s="4" t="s">
        <v>16</v>
      </c>
    </row>
    <row r="12" spans="1:46" s="4" customFormat="1" ht="31.5" customHeight="1" x14ac:dyDescent="0.3">
      <c r="A12" s="54" t="s">
        <v>27</v>
      </c>
      <c r="B12" s="55" t="str">
        <f>'Pamata infrastruktūra'!A12</f>
        <v>Morgs vai telpas mirušo uzglabāšanai</v>
      </c>
      <c r="C12" s="56">
        <f>'Pamata infrastruktūra'!B12</f>
        <v>200</v>
      </c>
      <c r="D12" s="57">
        <f>'Pamata infrastruktūra'!C12</f>
        <v>8760</v>
      </c>
      <c r="E12" s="56">
        <f>'Pamata infrastruktūra'!D12</f>
        <v>100</v>
      </c>
      <c r="F12" s="58">
        <f>'Pamata infrastruktūra'!E12</f>
        <v>72</v>
      </c>
      <c r="G12" s="58">
        <f t="shared" ref="G12:G13" si="11">ROUND(E12*F12,2)</f>
        <v>7200</v>
      </c>
      <c r="H12" s="58">
        <f>'Pamata infrastruktūra'!F12</f>
        <v>1000</v>
      </c>
      <c r="I12" s="58">
        <f>'Pamata infrastruktūra'!G12</f>
        <v>48</v>
      </c>
      <c r="J12" s="69">
        <f t="shared" si="7"/>
        <v>48000</v>
      </c>
      <c r="K12" s="59">
        <v>0</v>
      </c>
      <c r="L12" s="60">
        <f t="shared" si="6"/>
        <v>0.13039999999999999</v>
      </c>
      <c r="M12" s="61">
        <v>0</v>
      </c>
      <c r="N12" s="62">
        <f t="shared" si="8"/>
        <v>0</v>
      </c>
      <c r="O12" s="61">
        <f t="shared" si="9"/>
        <v>0</v>
      </c>
      <c r="P12" s="61"/>
      <c r="AT12" s="4" t="s">
        <v>16</v>
      </c>
    </row>
    <row r="13" spans="1:46" s="4" customFormat="1" ht="31.5" customHeight="1" x14ac:dyDescent="0.3">
      <c r="A13" s="54" t="s">
        <v>28</v>
      </c>
      <c r="B13" s="55" t="str">
        <f>'Pamata infrastruktūra'!A13</f>
        <v>Ambulators</v>
      </c>
      <c r="C13" s="56">
        <f>'Pamata infrastruktūra'!B13</f>
        <v>200</v>
      </c>
      <c r="D13" s="57">
        <f>'Pamata infrastruktūra'!C13</f>
        <v>2920</v>
      </c>
      <c r="E13" s="56">
        <f>'Pamata infrastruktūra'!D13</f>
        <v>12000</v>
      </c>
      <c r="F13" s="58">
        <f>'Pamata infrastruktūra'!E13</f>
        <v>1</v>
      </c>
      <c r="G13" s="58">
        <f t="shared" si="11"/>
        <v>12000</v>
      </c>
      <c r="H13" s="58">
        <f>'Pamata infrastruktūra'!F13</f>
        <v>4000</v>
      </c>
      <c r="I13" s="58">
        <f>'Pamata infrastruktūra'!G13</f>
        <v>1</v>
      </c>
      <c r="J13" s="69">
        <f t="shared" si="7"/>
        <v>4000</v>
      </c>
      <c r="K13" s="59">
        <v>0</v>
      </c>
      <c r="L13" s="60">
        <f t="shared" si="6"/>
        <v>0.75</v>
      </c>
      <c r="M13" s="61">
        <v>0</v>
      </c>
      <c r="N13" s="62">
        <f t="shared" si="8"/>
        <v>0</v>
      </c>
      <c r="O13" s="61">
        <f t="shared" si="9"/>
        <v>0</v>
      </c>
      <c r="P13" s="61"/>
      <c r="AT13" s="4" t="s">
        <v>16</v>
      </c>
    </row>
    <row r="14" spans="1:46" s="4" customFormat="1" ht="31.5" customHeight="1" x14ac:dyDescent="0.3">
      <c r="A14" s="54" t="s">
        <v>34</v>
      </c>
      <c r="B14" s="55" t="str">
        <f>'Pamata infrastruktūra2'!A5</f>
        <v>Diagnostikas struktūrvienība</v>
      </c>
      <c r="C14" s="56">
        <f>SUM(C15:C15)</f>
        <v>200</v>
      </c>
      <c r="D14" s="63"/>
      <c r="E14" s="74"/>
      <c r="F14" s="75"/>
      <c r="G14" s="58">
        <f>SUM(G15:G15)</f>
        <v>3231.4666666666667</v>
      </c>
      <c r="H14" s="75"/>
      <c r="I14" s="75"/>
      <c r="J14" s="58">
        <f>SUM(J15:J15)</f>
        <v>418.5333333333333</v>
      </c>
      <c r="K14" s="59">
        <v>0</v>
      </c>
      <c r="L14" s="60">
        <f t="shared" si="6"/>
        <v>0.88529999999999998</v>
      </c>
      <c r="M14" s="61">
        <f>SUM(M15)</f>
        <v>0</v>
      </c>
      <c r="N14" s="64">
        <f>SUM(N15:N15)</f>
        <v>0</v>
      </c>
      <c r="O14" s="61">
        <f>SUM(O15:O15)</f>
        <v>0</v>
      </c>
      <c r="P14" s="61"/>
      <c r="AT14" s="4" t="s">
        <v>16</v>
      </c>
    </row>
    <row r="15" spans="1:46" s="72" customFormat="1" ht="31.5" customHeight="1" outlineLevel="1" x14ac:dyDescent="0.3">
      <c r="A15" s="73" t="s">
        <v>38</v>
      </c>
      <c r="B15" s="66" t="str">
        <f>'Pamata infrastruktūra2'!A6</f>
        <v>Diagnostikas nodaļa</v>
      </c>
      <c r="C15" s="67">
        <f>'Pamata infrastruktūra2'!B6</f>
        <v>200</v>
      </c>
      <c r="D15" s="68">
        <f>'Pamata infrastruktūra2'!C6</f>
        <v>3650</v>
      </c>
      <c r="E15" s="74"/>
      <c r="F15" s="75"/>
      <c r="G15" s="69">
        <f>IF(('Pamata infrastruktūra2'!K6+'Pamata infrastruktūra2'!L6)&gt;0,'Pamata infrastruktūra2'!C6*'Pamata infrastruktūra2'!K6/('Pamata infrastruktūra2'!K6+'Pamata infrastruktūra2'!L6),0)</f>
        <v>3231.4666666666667</v>
      </c>
      <c r="H15" s="75"/>
      <c r="I15" s="75"/>
      <c r="J15" s="69">
        <f>D15-G15</f>
        <v>418.5333333333333</v>
      </c>
      <c r="K15" s="70">
        <v>0</v>
      </c>
      <c r="L15" s="60">
        <f t="shared" si="6"/>
        <v>0.88529999999999998</v>
      </c>
      <c r="M15" s="71">
        <v>0</v>
      </c>
      <c r="N15" s="62">
        <f t="shared" ref="N15:N17" si="12">IF((G15+J15+K15)&gt;0,ROUND(G15/(G15+J15+K15)*M15,2),0)</f>
        <v>0</v>
      </c>
      <c r="O15" s="71">
        <f t="shared" ref="O15" si="13">M15-N15</f>
        <v>0</v>
      </c>
      <c r="P15" s="71"/>
      <c r="AT15" s="72" t="s">
        <v>16</v>
      </c>
    </row>
    <row r="16" spans="1:46" s="4" customFormat="1" ht="31.5" customHeight="1" x14ac:dyDescent="0.3">
      <c r="A16" s="54" t="s">
        <v>75</v>
      </c>
      <c r="B16" s="55" t="str">
        <f>'Pamata infrastruktūra2'!A7</f>
        <v>Dezinfekcijas un sterilizācijas dienests</v>
      </c>
      <c r="C16" s="56">
        <f>'Pamata infrastruktūra2'!B7</f>
        <v>300</v>
      </c>
      <c r="D16" s="57">
        <f>'Pamata infrastruktūra2'!C7</f>
        <v>3650</v>
      </c>
      <c r="E16" s="74"/>
      <c r="F16" s="75"/>
      <c r="G16" s="69">
        <f>IF(('Pamata infrastruktūra2'!K7+'Pamata infrastruktūra2'!L7)&gt;0,'Pamata infrastruktūra2'!C7*'Pamata infrastruktūra2'!K7/('Pamata infrastruktūra2'!K7+'Pamata infrastruktūra2'!L7),0)</f>
        <v>2894.2066666666665</v>
      </c>
      <c r="H16" s="75"/>
      <c r="I16" s="75"/>
      <c r="J16" s="69">
        <f t="shared" ref="J16:J19" si="14">D16-G16</f>
        <v>755.79333333333352</v>
      </c>
      <c r="K16" s="59">
        <v>0</v>
      </c>
      <c r="L16" s="60">
        <f t="shared" si="6"/>
        <v>0.79290000000000005</v>
      </c>
      <c r="M16" s="61">
        <v>0</v>
      </c>
      <c r="N16" s="62">
        <f t="shared" si="12"/>
        <v>0</v>
      </c>
      <c r="O16" s="61">
        <f t="shared" si="9"/>
        <v>0</v>
      </c>
      <c r="P16" s="61"/>
      <c r="AT16" s="4" t="s">
        <v>16</v>
      </c>
    </row>
    <row r="17" spans="1:46" s="4" customFormat="1" ht="31.5" customHeight="1" x14ac:dyDescent="0.3">
      <c r="A17" s="54" t="s">
        <v>76</v>
      </c>
      <c r="B17" s="55" t="str">
        <f>'Pamata infrastruktūra2'!A8</f>
        <v>Laboratorija</v>
      </c>
      <c r="C17" s="56">
        <f>'Pamata infrastruktūra2'!B8</f>
        <v>80</v>
      </c>
      <c r="D17" s="57">
        <f>'Pamata infrastruktūra2'!C8</f>
        <v>2920</v>
      </c>
      <c r="E17" s="74"/>
      <c r="F17" s="75"/>
      <c r="G17" s="69">
        <f>IF(('Pamata infrastruktūra2'!K8+'Pamata infrastruktūra2'!L8)&gt;0,'Pamata infrastruktūra2'!C8*'Pamata infrastruktūra2'!K8/('Pamata infrastruktūra2'!K8+'Pamata infrastruktūra2'!L8),0)</f>
        <v>2582.9485714285715</v>
      </c>
      <c r="H17" s="75"/>
      <c r="I17" s="75"/>
      <c r="J17" s="69">
        <f t="shared" si="14"/>
        <v>337.05142857142846</v>
      </c>
      <c r="K17" s="59">
        <v>0</v>
      </c>
      <c r="L17" s="60">
        <f>IF(G17=0,0,ROUND(G17/(G17+J17+K17),4))</f>
        <v>0.88460000000000005</v>
      </c>
      <c r="M17" s="61">
        <v>0</v>
      </c>
      <c r="N17" s="62">
        <f t="shared" si="12"/>
        <v>0</v>
      </c>
      <c r="O17" s="61">
        <f t="shared" si="9"/>
        <v>0</v>
      </c>
      <c r="P17" s="61"/>
      <c r="AT17" s="4" t="s">
        <v>16</v>
      </c>
    </row>
    <row r="18" spans="1:46" s="4" customFormat="1" ht="31.5" hidden="1" customHeight="1" x14ac:dyDescent="0.3">
      <c r="A18" s="54" t="s">
        <v>77</v>
      </c>
      <c r="B18" s="55" t="str">
        <f>'Pamata infrastruktūra2'!A9</f>
        <v>Slēgta tipa aptieka</v>
      </c>
      <c r="C18" s="56">
        <f>'Pamata infrastruktūra2'!B9</f>
        <v>0</v>
      </c>
      <c r="D18" s="57">
        <f>'Pamata infrastruktūra2'!C9</f>
        <v>0</v>
      </c>
      <c r="E18" s="74"/>
      <c r="F18" s="75"/>
      <c r="G18" s="69">
        <f>IF(('Pamata infrastruktūra2'!K9+'Pamata infrastruktūra2'!L9)&gt;0,'Pamata infrastruktūra2'!C9*'Pamata infrastruktūra2'!K9/('Pamata infrastruktūra2'!K9+'Pamata infrastruktūra2'!L9),0)</f>
        <v>0</v>
      </c>
      <c r="H18" s="75"/>
      <c r="I18" s="75"/>
      <c r="J18" s="69">
        <f t="shared" si="14"/>
        <v>0</v>
      </c>
      <c r="K18" s="59"/>
      <c r="L18" s="60">
        <f t="shared" si="6"/>
        <v>0</v>
      </c>
      <c r="M18" s="61"/>
      <c r="N18" s="62">
        <f>IF((G18+J18+K18)&gt;0,ROUND(G18/(G18+J18+K18)*M18,2),0)</f>
        <v>0</v>
      </c>
      <c r="O18" s="61">
        <f t="shared" si="9"/>
        <v>0</v>
      </c>
      <c r="P18" s="61"/>
      <c r="AT18" s="4" t="s">
        <v>16</v>
      </c>
    </row>
    <row r="19" spans="1:46" s="4" customFormat="1" ht="31.5" customHeight="1" x14ac:dyDescent="0.3">
      <c r="A19" s="54" t="s">
        <v>77</v>
      </c>
      <c r="B19" s="55" t="str">
        <f>'Pamata infrastruktūra2'!A10</f>
        <v>Patoloģijas nodaļa</v>
      </c>
      <c r="C19" s="56">
        <f>'Pamata infrastruktūra2'!B10</f>
        <v>400</v>
      </c>
      <c r="D19" s="57">
        <f>'Pamata infrastruktūra2'!C10</f>
        <v>3650</v>
      </c>
      <c r="E19" s="74"/>
      <c r="F19" s="75"/>
      <c r="G19" s="69">
        <f>IF(('Pamata infrastruktūra2'!K10+'Pamata infrastruktūra2'!L10)&gt;0,'Pamata infrastruktūra2'!C10*'Pamata infrastruktūra2'!K10/('Pamata infrastruktūra2'!K10+'Pamata infrastruktūra2'!L10),0)</f>
        <v>3144.7254901960782</v>
      </c>
      <c r="H19" s="75"/>
      <c r="I19" s="75"/>
      <c r="J19" s="69">
        <f t="shared" si="14"/>
        <v>505.27450980392177</v>
      </c>
      <c r="K19" s="59">
        <v>0</v>
      </c>
      <c r="L19" s="60">
        <f t="shared" si="6"/>
        <v>0.86160000000000003</v>
      </c>
      <c r="M19" s="61">
        <v>0</v>
      </c>
      <c r="N19" s="62">
        <f t="shared" ref="N19" si="15">IF((G19+J19+K19)&gt;0,ROUND(G19/(G19+J19+K19)*M19,2),0)</f>
        <v>0</v>
      </c>
      <c r="O19" s="61">
        <f t="shared" si="9"/>
        <v>0</v>
      </c>
      <c r="P19" s="61"/>
      <c r="AT19" s="4" t="s">
        <v>16</v>
      </c>
    </row>
    <row r="20" spans="1:46" s="4" customFormat="1" ht="31.5" customHeight="1" x14ac:dyDescent="0.3">
      <c r="A20" s="54" t="s">
        <v>78</v>
      </c>
      <c r="B20" s="55" t="s">
        <v>137</v>
      </c>
      <c r="C20" s="56">
        <f>SUM(C21:C22)</f>
        <v>0</v>
      </c>
      <c r="D20" s="57">
        <f>SUM(D21:D22)</f>
        <v>17520</v>
      </c>
      <c r="E20" s="74"/>
      <c r="F20" s="75"/>
      <c r="G20" s="58">
        <f>SUM(G21:G22)</f>
        <v>15655.48</v>
      </c>
      <c r="H20" s="75"/>
      <c r="I20" s="75"/>
      <c r="J20" s="58">
        <f>SUM(J21:J22)</f>
        <v>1864.5200000000004</v>
      </c>
      <c r="K20" s="59">
        <v>0</v>
      </c>
      <c r="L20" s="60">
        <f t="shared" si="6"/>
        <v>0.89359999999999995</v>
      </c>
      <c r="M20" s="61">
        <f>SUM(M21:M22)</f>
        <v>200000</v>
      </c>
      <c r="N20" s="64">
        <f>SUM(N21:N22)</f>
        <v>179483.68</v>
      </c>
      <c r="O20" s="61">
        <f>SUM(O21:O22)</f>
        <v>20516.320000000007</v>
      </c>
      <c r="P20" s="61"/>
    </row>
    <row r="21" spans="1:46" s="72" customFormat="1" ht="31.5" customHeight="1" outlineLevel="1" x14ac:dyDescent="0.3">
      <c r="A21" s="73" t="s">
        <v>121</v>
      </c>
      <c r="B21" s="66" t="str">
        <f>'Jaunais lifts'!A2</f>
        <v>Jaunu liftu ierīkošana</v>
      </c>
      <c r="C21" s="74"/>
      <c r="D21" s="68">
        <f>'Jaunais lifts'!F8</f>
        <v>8760</v>
      </c>
      <c r="E21" s="74"/>
      <c r="F21" s="75"/>
      <c r="G21" s="58">
        <f>'Jaunais lifts'!F9</f>
        <v>7760.45</v>
      </c>
      <c r="H21" s="75"/>
      <c r="I21" s="75"/>
      <c r="J21" s="58">
        <f>'Jaunais lifts'!F10</f>
        <v>999.55000000000018</v>
      </c>
      <c r="K21" s="70">
        <v>0</v>
      </c>
      <c r="L21" s="60">
        <f t="shared" si="6"/>
        <v>0.88590000000000002</v>
      </c>
      <c r="M21" s="71">
        <v>50000</v>
      </c>
      <c r="N21" s="62">
        <f t="shared" ref="N21:N23" si="16">IF((G21+J21+K21)&gt;0,ROUND(G21/(G21+J21+K21)*M21,2),0)</f>
        <v>44294.81</v>
      </c>
      <c r="O21" s="71">
        <f t="shared" ref="O21:O22" si="17">M21-N21</f>
        <v>5705.1900000000023</v>
      </c>
      <c r="P21" s="71"/>
      <c r="AT21" s="72" t="s">
        <v>16</v>
      </c>
    </row>
    <row r="22" spans="1:46" s="72" customFormat="1" ht="31.5" customHeight="1" outlineLevel="1" thickBot="1" x14ac:dyDescent="0.35">
      <c r="A22" s="73" t="s">
        <v>122</v>
      </c>
      <c r="B22" s="66" t="str">
        <f>Komunikacijas!A2</f>
        <v>Komunikāciju un ventilācijas atjaunošana</v>
      </c>
      <c r="C22" s="74"/>
      <c r="D22" s="68">
        <f>Komunikacijas!F10</f>
        <v>8760</v>
      </c>
      <c r="E22" s="74"/>
      <c r="F22" s="75"/>
      <c r="G22" s="58">
        <f>Komunikacijas!F11</f>
        <v>7895.03</v>
      </c>
      <c r="H22" s="75"/>
      <c r="I22" s="75"/>
      <c r="J22" s="58">
        <f>Komunikacijas!F12</f>
        <v>864.97000000000025</v>
      </c>
      <c r="K22" s="70">
        <v>0</v>
      </c>
      <c r="L22" s="60">
        <f t="shared" si="6"/>
        <v>0.90129999999999999</v>
      </c>
      <c r="M22" s="71">
        <v>150000</v>
      </c>
      <c r="N22" s="62">
        <f t="shared" si="16"/>
        <v>135188.87</v>
      </c>
      <c r="O22" s="71">
        <f t="shared" si="17"/>
        <v>14811.130000000005</v>
      </c>
      <c r="P22" s="71"/>
      <c r="AT22" s="72" t="s">
        <v>16</v>
      </c>
    </row>
    <row r="23" spans="1:46" s="4" customFormat="1" ht="31.5" hidden="1" customHeight="1" x14ac:dyDescent="0.3">
      <c r="A23" s="54" t="s">
        <v>29</v>
      </c>
      <c r="B23" s="55" t="s">
        <v>119</v>
      </c>
      <c r="C23" s="56"/>
      <c r="D23" s="57"/>
      <c r="E23" s="56"/>
      <c r="F23" s="58"/>
      <c r="G23" s="69">
        <f t="shared" ref="G23" si="18">ROUND(E23*F23,2)</f>
        <v>0</v>
      </c>
      <c r="H23" s="58"/>
      <c r="I23" s="58"/>
      <c r="J23" s="69">
        <f t="shared" ref="J23" si="19">ROUND(H23*I23,2)</f>
        <v>0</v>
      </c>
      <c r="K23" s="59"/>
      <c r="L23" s="60">
        <f t="shared" si="6"/>
        <v>0</v>
      </c>
      <c r="M23" s="61"/>
      <c r="N23" s="62">
        <f t="shared" si="16"/>
        <v>0</v>
      </c>
      <c r="O23" s="61">
        <f>M23-N23</f>
        <v>0</v>
      </c>
      <c r="P23" s="61"/>
      <c r="AT23" s="4" t="s">
        <v>16</v>
      </c>
    </row>
    <row r="24" spans="1:46" s="4" customFormat="1" ht="31.5" hidden="1" customHeight="1" thickBot="1" x14ac:dyDescent="0.35">
      <c r="A24" s="54" t="s">
        <v>30</v>
      </c>
      <c r="B24" s="55" t="s">
        <v>120</v>
      </c>
      <c r="C24" s="76"/>
      <c r="D24" s="77"/>
      <c r="E24" s="76"/>
      <c r="F24" s="78"/>
      <c r="G24" s="58">
        <f t="shared" ref="G24" si="20">ROUND(E24*F24,2)</f>
        <v>0</v>
      </c>
      <c r="H24" s="78"/>
      <c r="I24" s="78"/>
      <c r="J24" s="58">
        <f t="shared" ref="J24" si="21">ROUND(H24*I24,2)</f>
        <v>0</v>
      </c>
      <c r="K24" s="79"/>
      <c r="L24" s="60">
        <f t="shared" ref="L24" si="22">IF(G24=0,0,ROUND(G24/(G24+J24+K24),4))</f>
        <v>0</v>
      </c>
      <c r="M24" s="61"/>
      <c r="N24" s="62">
        <f t="shared" ref="N24" si="23">IF((G24+J24+K24)&gt;0,ROUND(G24/(G24+J24+K24)*M24,2),0)</f>
        <v>0</v>
      </c>
      <c r="O24" s="80">
        <f t="shared" ref="O24" si="24">M24-N24</f>
        <v>0</v>
      </c>
      <c r="P24" s="61"/>
      <c r="AT24" s="4" t="s">
        <v>16</v>
      </c>
    </row>
    <row r="25" spans="1:46" s="6" customFormat="1" ht="31.5" customHeight="1" thickBot="1" x14ac:dyDescent="0.35">
      <c r="A25" s="18"/>
      <c r="B25" s="19" t="s">
        <v>6</v>
      </c>
      <c r="C25" s="35"/>
      <c r="D25" s="36"/>
      <c r="E25" s="35"/>
      <c r="F25" s="37"/>
      <c r="G25" s="37"/>
      <c r="H25" s="37"/>
      <c r="I25" s="37"/>
      <c r="J25" s="37"/>
      <c r="K25" s="41"/>
      <c r="L25" s="38"/>
      <c r="M25" s="20">
        <f>SUM(M4:M8,M11:M14,M16:M20,M23:M24)</f>
        <v>1000000</v>
      </c>
      <c r="N25" s="40">
        <f>SUM(N4:N8,N11:N14,N16:N20,N23:N24)</f>
        <v>925197.59000000008</v>
      </c>
      <c r="O25" s="40">
        <f>SUM(O4:O8,O11:O14,O16:O20,O23:O24)</f>
        <v>74802.409999999989</v>
      </c>
      <c r="P25" s="20"/>
      <c r="AT25" s="6" t="s">
        <v>16</v>
      </c>
    </row>
    <row r="26" spans="1:46" ht="28.8" x14ac:dyDescent="0.3">
      <c r="AT26" s="4" t="s">
        <v>16</v>
      </c>
    </row>
    <row r="27" spans="1:46" ht="28.8" x14ac:dyDescent="0.3">
      <c r="AT27" s="4" t="s">
        <v>16</v>
      </c>
    </row>
    <row r="28" spans="1:46" ht="28.8" x14ac:dyDescent="0.3">
      <c r="AT28" s="4" t="s">
        <v>16</v>
      </c>
    </row>
    <row r="29" spans="1:46" ht="28.8" x14ac:dyDescent="0.3">
      <c r="AT29" s="4" t="s">
        <v>16</v>
      </c>
    </row>
    <row r="30" spans="1:46" ht="28.8" x14ac:dyDescent="0.3">
      <c r="AT30" s="4" t="s">
        <v>16</v>
      </c>
    </row>
    <row r="31" spans="1:46" ht="28.8" x14ac:dyDescent="0.3">
      <c r="AT31" s="4" t="s">
        <v>16</v>
      </c>
    </row>
    <row r="32" spans="1:46" ht="28.8" x14ac:dyDescent="0.3">
      <c r="AT32" s="4" t="s">
        <v>16</v>
      </c>
    </row>
    <row r="33" spans="46:46" ht="28.8" x14ac:dyDescent="0.3">
      <c r="AT33" s="4" t="s">
        <v>16</v>
      </c>
    </row>
    <row r="34" spans="46:46" ht="28.8" x14ac:dyDescent="0.3">
      <c r="AT34" s="4" t="s">
        <v>16</v>
      </c>
    </row>
    <row r="35" spans="46:46" ht="28.8" x14ac:dyDescent="0.3">
      <c r="AT35" s="4" t="s">
        <v>16</v>
      </c>
    </row>
    <row r="36" spans="46:46" ht="28.8" x14ac:dyDescent="0.3">
      <c r="AT36" s="4" t="s">
        <v>16</v>
      </c>
    </row>
    <row r="37" spans="46:46" ht="28.8" x14ac:dyDescent="0.3">
      <c r="AT37" s="4" t="s">
        <v>16</v>
      </c>
    </row>
    <row r="38" spans="46:46" ht="28.8" x14ac:dyDescent="0.3">
      <c r="AT38" s="4" t="s">
        <v>16</v>
      </c>
    </row>
    <row r="39" spans="46:46" ht="28.8" x14ac:dyDescent="0.3">
      <c r="AT39" s="4" t="s">
        <v>16</v>
      </c>
    </row>
    <row r="40" spans="46:46" ht="28.8" x14ac:dyDescent="0.3">
      <c r="AT40" s="4" t="s">
        <v>16</v>
      </c>
    </row>
    <row r="41" spans="46:46" ht="28.8" x14ac:dyDescent="0.3">
      <c r="AT41" s="4" t="s">
        <v>16</v>
      </c>
    </row>
    <row r="42" spans="46:46" ht="28.8" x14ac:dyDescent="0.3">
      <c r="AT42" s="4" t="s">
        <v>16</v>
      </c>
    </row>
    <row r="43" spans="46:46" ht="28.8" x14ac:dyDescent="0.3">
      <c r="AT43" s="4" t="s">
        <v>16</v>
      </c>
    </row>
    <row r="44" spans="46:46" ht="28.8" x14ac:dyDescent="0.3">
      <c r="AT44" s="4" t="s">
        <v>16</v>
      </c>
    </row>
    <row r="45" spans="46:46" ht="28.8" x14ac:dyDescent="0.3">
      <c r="AT45" s="4" t="s">
        <v>16</v>
      </c>
    </row>
    <row r="46" spans="46:46" ht="28.8" x14ac:dyDescent="0.3">
      <c r="AT46" s="4" t="s">
        <v>16</v>
      </c>
    </row>
    <row r="47" spans="46:46" ht="28.8" x14ac:dyDescent="0.3">
      <c r="AT47" s="4" t="s">
        <v>16</v>
      </c>
    </row>
    <row r="48" spans="46:46" ht="28.8" x14ac:dyDescent="0.3">
      <c r="AT48" s="4" t="s">
        <v>16</v>
      </c>
    </row>
    <row r="49" spans="46:46" ht="28.8" x14ac:dyDescent="0.3">
      <c r="AT49" s="4" t="s">
        <v>16</v>
      </c>
    </row>
    <row r="50" spans="46:46" ht="28.8" x14ac:dyDescent="0.3">
      <c r="AT50" s="4" t="s">
        <v>16</v>
      </c>
    </row>
    <row r="51" spans="46:46" ht="28.8" x14ac:dyDescent="0.3">
      <c r="AT51" s="4" t="s">
        <v>16</v>
      </c>
    </row>
    <row r="52" spans="46:46" ht="28.8" x14ac:dyDescent="0.3">
      <c r="AT52" s="4" t="s">
        <v>16</v>
      </c>
    </row>
    <row r="53" spans="46:46" ht="28.8" x14ac:dyDescent="0.3">
      <c r="AT53" s="4" t="s">
        <v>16</v>
      </c>
    </row>
    <row r="54" spans="46:46" ht="28.8" x14ac:dyDescent="0.3">
      <c r="AT54" s="4" t="s">
        <v>16</v>
      </c>
    </row>
    <row r="55" spans="46:46" ht="28.8" x14ac:dyDescent="0.3">
      <c r="AT55" s="4" t="s">
        <v>16</v>
      </c>
    </row>
    <row r="56" spans="46:46" ht="28.8" x14ac:dyDescent="0.3">
      <c r="AT56" s="4" t="s">
        <v>16</v>
      </c>
    </row>
    <row r="57" spans="46:46" ht="28.8" x14ac:dyDescent="0.3">
      <c r="AT57" s="4" t="s">
        <v>16</v>
      </c>
    </row>
    <row r="58" spans="46:46" ht="28.8" x14ac:dyDescent="0.3">
      <c r="AT58" s="4" t="s">
        <v>16</v>
      </c>
    </row>
    <row r="59" spans="46:46" ht="28.8" x14ac:dyDescent="0.3">
      <c r="AT59" s="4" t="s">
        <v>16</v>
      </c>
    </row>
    <row r="60" spans="46:46" ht="28.8" x14ac:dyDescent="0.3">
      <c r="AT60" s="4" t="s">
        <v>16</v>
      </c>
    </row>
    <row r="61" spans="46:46" ht="28.8" x14ac:dyDescent="0.3">
      <c r="AT61" s="4" t="s">
        <v>16</v>
      </c>
    </row>
    <row r="62" spans="46:46" ht="28.8" x14ac:dyDescent="0.3">
      <c r="AT62" s="4" t="s">
        <v>16</v>
      </c>
    </row>
    <row r="63" spans="46:46" ht="28.8" x14ac:dyDescent="0.3">
      <c r="AT63" s="4" t="s">
        <v>16</v>
      </c>
    </row>
    <row r="64" spans="46:46" ht="28.8" x14ac:dyDescent="0.3">
      <c r="AT64" s="4" t="s">
        <v>16</v>
      </c>
    </row>
    <row r="65" spans="46:46" ht="28.8" x14ac:dyDescent="0.3">
      <c r="AT65" s="4" t="s">
        <v>16</v>
      </c>
    </row>
    <row r="66" spans="46:46" ht="28.8" x14ac:dyDescent="0.3">
      <c r="AT66" s="4" t="s">
        <v>16</v>
      </c>
    </row>
    <row r="67" spans="46:46" ht="28.8" x14ac:dyDescent="0.3">
      <c r="AT67" s="4" t="s">
        <v>16</v>
      </c>
    </row>
    <row r="68" spans="46:46" ht="28.8" x14ac:dyDescent="0.3">
      <c r="AT68" s="4" t="s">
        <v>16</v>
      </c>
    </row>
    <row r="69" spans="46:46" ht="28.8" x14ac:dyDescent="0.3">
      <c r="AT69" s="4" t="s">
        <v>16</v>
      </c>
    </row>
    <row r="70" spans="46:46" ht="28.8" x14ac:dyDescent="0.3">
      <c r="AT70" s="4" t="s">
        <v>16</v>
      </c>
    </row>
    <row r="71" spans="46:46" ht="28.8" x14ac:dyDescent="0.3">
      <c r="AT71" s="4" t="s">
        <v>16</v>
      </c>
    </row>
    <row r="72" spans="46:46" ht="28.8" x14ac:dyDescent="0.3">
      <c r="AT72" s="4" t="s">
        <v>16</v>
      </c>
    </row>
    <row r="73" spans="46:46" ht="28.8" x14ac:dyDescent="0.3">
      <c r="AT73" s="4" t="s">
        <v>16</v>
      </c>
    </row>
    <row r="74" spans="46:46" ht="28.8" x14ac:dyDescent="0.3">
      <c r="AT74" s="4" t="s">
        <v>16</v>
      </c>
    </row>
    <row r="75" spans="46:46" ht="28.8" x14ac:dyDescent="0.3">
      <c r="AT75" s="4" t="s">
        <v>16</v>
      </c>
    </row>
    <row r="76" spans="46:46" ht="28.8" x14ac:dyDescent="0.3">
      <c r="AT76" s="4" t="s">
        <v>16</v>
      </c>
    </row>
    <row r="77" spans="46:46" ht="28.8" x14ac:dyDescent="0.3">
      <c r="AT77" s="4" t="s">
        <v>16</v>
      </c>
    </row>
    <row r="78" spans="46:46" ht="28.8" x14ac:dyDescent="0.3">
      <c r="AT78" s="4" t="s">
        <v>16</v>
      </c>
    </row>
    <row r="79" spans="46:46" ht="28.8" x14ac:dyDescent="0.3">
      <c r="AT79" s="4" t="s">
        <v>16</v>
      </c>
    </row>
    <row r="80" spans="46:46" ht="28.8" x14ac:dyDescent="0.3">
      <c r="AT80" s="4" t="s">
        <v>16</v>
      </c>
    </row>
    <row r="81" spans="46:46" ht="28.8" x14ac:dyDescent="0.3">
      <c r="AT81" s="4" t="s">
        <v>16</v>
      </c>
    </row>
    <row r="82" spans="46:46" ht="28.8" x14ac:dyDescent="0.3">
      <c r="AT82" s="4" t="s">
        <v>16</v>
      </c>
    </row>
    <row r="83" spans="46:46" ht="28.8" x14ac:dyDescent="0.3">
      <c r="AT83" s="4" t="s">
        <v>16</v>
      </c>
    </row>
    <row r="84" spans="46:46" ht="28.8" x14ac:dyDescent="0.3">
      <c r="AT84" s="4" t="s">
        <v>16</v>
      </c>
    </row>
    <row r="85" spans="46:46" ht="28.8" x14ac:dyDescent="0.3">
      <c r="AT85" s="4" t="s">
        <v>16</v>
      </c>
    </row>
    <row r="86" spans="46:46" ht="28.8" x14ac:dyDescent="0.3">
      <c r="AT86" s="4" t="s">
        <v>16</v>
      </c>
    </row>
    <row r="87" spans="46:46" ht="28.8" x14ac:dyDescent="0.3">
      <c r="AT87" s="4" t="s">
        <v>16</v>
      </c>
    </row>
    <row r="88" spans="46:46" ht="28.8" x14ac:dyDescent="0.3">
      <c r="AT88" s="4" t="s">
        <v>16</v>
      </c>
    </row>
    <row r="89" spans="46:46" ht="28.8" x14ac:dyDescent="0.3">
      <c r="AT89" s="4" t="s">
        <v>16</v>
      </c>
    </row>
    <row r="90" spans="46:46" ht="28.8" x14ac:dyDescent="0.3">
      <c r="AT90" s="4" t="s">
        <v>16</v>
      </c>
    </row>
    <row r="91" spans="46:46" ht="28.8" x14ac:dyDescent="0.3">
      <c r="AT91" s="4" t="s">
        <v>16</v>
      </c>
    </row>
    <row r="92" spans="46:46" ht="28.8" x14ac:dyDescent="0.3">
      <c r="AT92" s="4" t="s">
        <v>16</v>
      </c>
    </row>
    <row r="93" spans="46:46" ht="28.8" x14ac:dyDescent="0.3">
      <c r="AT93" s="4" t="s">
        <v>16</v>
      </c>
    </row>
    <row r="94" spans="46:46" ht="28.8" x14ac:dyDescent="0.3">
      <c r="AT94" s="4" t="s">
        <v>16</v>
      </c>
    </row>
    <row r="95" spans="46:46" ht="28.8" x14ac:dyDescent="0.3">
      <c r="AT95" s="4" t="s">
        <v>16</v>
      </c>
    </row>
    <row r="96" spans="46:46" ht="28.8" x14ac:dyDescent="0.3">
      <c r="AT96" s="4" t="s">
        <v>16</v>
      </c>
    </row>
    <row r="97" spans="46:46" ht="28.8" x14ac:dyDescent="0.3">
      <c r="AT97" s="4" t="s">
        <v>16</v>
      </c>
    </row>
    <row r="98" spans="46:46" ht="28.8" x14ac:dyDescent="0.3">
      <c r="AT98" s="4" t="s">
        <v>16</v>
      </c>
    </row>
    <row r="99" spans="46:46" ht="28.8" x14ac:dyDescent="0.3">
      <c r="AT99" s="4" t="s">
        <v>16</v>
      </c>
    </row>
    <row r="100" spans="46:46" ht="28.8" x14ac:dyDescent="0.3">
      <c r="AT100" s="4" t="s">
        <v>16</v>
      </c>
    </row>
    <row r="101" spans="46:46" ht="28.8" x14ac:dyDescent="0.3">
      <c r="AT101" s="4" t="s">
        <v>16</v>
      </c>
    </row>
    <row r="102" spans="46:46" ht="28.8" x14ac:dyDescent="0.3">
      <c r="AT102" s="4" t="s">
        <v>16</v>
      </c>
    </row>
    <row r="103" spans="46:46" ht="28.8" x14ac:dyDescent="0.3">
      <c r="AT103" s="4" t="s">
        <v>16</v>
      </c>
    </row>
    <row r="104" spans="46:46" ht="28.8" x14ac:dyDescent="0.3">
      <c r="AT104" s="4" t="s">
        <v>16</v>
      </c>
    </row>
    <row r="105" spans="46:46" ht="28.8" x14ac:dyDescent="0.3">
      <c r="AT105" s="4" t="s">
        <v>16</v>
      </c>
    </row>
    <row r="106" spans="46:46" ht="28.8" x14ac:dyDescent="0.3">
      <c r="AT106" s="4" t="s">
        <v>16</v>
      </c>
    </row>
    <row r="107" spans="46:46" ht="28.8" x14ac:dyDescent="0.3">
      <c r="AT107" s="4" t="s">
        <v>16</v>
      </c>
    </row>
    <row r="108" spans="46:46" ht="28.8" x14ac:dyDescent="0.3">
      <c r="AT108" s="4" t="s">
        <v>16</v>
      </c>
    </row>
    <row r="109" spans="46:46" ht="28.8" x14ac:dyDescent="0.3">
      <c r="AT109" s="4" t="s">
        <v>16</v>
      </c>
    </row>
    <row r="110" spans="46:46" ht="28.8" x14ac:dyDescent="0.3">
      <c r="AT110" s="4" t="s">
        <v>16</v>
      </c>
    </row>
    <row r="111" spans="46:46" ht="28.8" x14ac:dyDescent="0.3">
      <c r="AT111" s="4" t="s">
        <v>16</v>
      </c>
    </row>
    <row r="112" spans="46:46" ht="28.8" x14ac:dyDescent="0.3">
      <c r="AT112" s="4" t="s">
        <v>16</v>
      </c>
    </row>
    <row r="113" spans="46:46" ht="28.8" x14ac:dyDescent="0.3">
      <c r="AT113" s="4" t="s">
        <v>16</v>
      </c>
    </row>
    <row r="114" spans="46:46" ht="28.8" x14ac:dyDescent="0.3">
      <c r="AT114" s="4" t="s">
        <v>16</v>
      </c>
    </row>
    <row r="115" spans="46:46" ht="28.8" x14ac:dyDescent="0.3">
      <c r="AT115" s="4" t="s">
        <v>16</v>
      </c>
    </row>
    <row r="116" spans="46:46" ht="28.8" x14ac:dyDescent="0.3">
      <c r="AT116" s="4" t="s">
        <v>16</v>
      </c>
    </row>
    <row r="117" spans="46:46" ht="28.8" x14ac:dyDescent="0.3">
      <c r="AT117" s="4" t="s">
        <v>16</v>
      </c>
    </row>
    <row r="118" spans="46:46" ht="28.8" x14ac:dyDescent="0.3">
      <c r="AT118" s="4" t="s">
        <v>16</v>
      </c>
    </row>
    <row r="119" spans="46:46" ht="28.8" x14ac:dyDescent="0.3">
      <c r="AT119" s="4" t="s">
        <v>16</v>
      </c>
    </row>
    <row r="120" spans="46:46" ht="28.8" x14ac:dyDescent="0.3">
      <c r="AT120" s="4" t="s">
        <v>16</v>
      </c>
    </row>
    <row r="121" spans="46:46" ht="28.8" x14ac:dyDescent="0.3">
      <c r="AT121" s="4" t="s">
        <v>16</v>
      </c>
    </row>
    <row r="122" spans="46:46" ht="28.8" x14ac:dyDescent="0.3">
      <c r="AT122" s="4" t="s">
        <v>16</v>
      </c>
    </row>
    <row r="123" spans="46:46" ht="28.8" x14ac:dyDescent="0.3">
      <c r="AT123" s="4" t="s">
        <v>16</v>
      </c>
    </row>
    <row r="124" spans="46:46" ht="28.8" x14ac:dyDescent="0.3">
      <c r="AT124" s="4" t="s">
        <v>16</v>
      </c>
    </row>
    <row r="125" spans="46:46" ht="28.8" x14ac:dyDescent="0.3">
      <c r="AT125" s="4" t="s">
        <v>16</v>
      </c>
    </row>
    <row r="126" spans="46:46" ht="28.8" x14ac:dyDescent="0.3">
      <c r="AT126" s="4" t="s">
        <v>16</v>
      </c>
    </row>
    <row r="127" spans="46:46" ht="28.8" x14ac:dyDescent="0.3">
      <c r="AT127" s="4" t="s">
        <v>16</v>
      </c>
    </row>
    <row r="128" spans="46:46" ht="28.8" x14ac:dyDescent="0.3">
      <c r="AT128" s="4" t="s">
        <v>16</v>
      </c>
    </row>
    <row r="129" spans="46:46" ht="28.8" x14ac:dyDescent="0.3">
      <c r="AT129" s="4" t="s">
        <v>16</v>
      </c>
    </row>
    <row r="130" spans="46:46" ht="28.8" x14ac:dyDescent="0.3">
      <c r="AT130" s="4" t="s">
        <v>16</v>
      </c>
    </row>
    <row r="131" spans="46:46" ht="28.8" x14ac:dyDescent="0.3">
      <c r="AT131" s="4" t="s">
        <v>16</v>
      </c>
    </row>
    <row r="132" spans="46:46" ht="28.8" x14ac:dyDescent="0.3">
      <c r="AT132" s="4" t="s">
        <v>16</v>
      </c>
    </row>
    <row r="133" spans="46:46" ht="28.8" x14ac:dyDescent="0.3">
      <c r="AT133" s="4" t="s">
        <v>16</v>
      </c>
    </row>
    <row r="134" spans="46:46" ht="28.8" x14ac:dyDescent="0.3">
      <c r="AT134" s="4" t="s">
        <v>16</v>
      </c>
    </row>
    <row r="135" spans="46:46" ht="28.8" x14ac:dyDescent="0.3">
      <c r="AT135" s="4" t="s">
        <v>16</v>
      </c>
    </row>
    <row r="136" spans="46:46" ht="28.8" x14ac:dyDescent="0.3">
      <c r="AT136" s="4" t="s">
        <v>16</v>
      </c>
    </row>
    <row r="137" spans="46:46" ht="28.8" x14ac:dyDescent="0.3">
      <c r="AT137" s="4" t="s">
        <v>16</v>
      </c>
    </row>
    <row r="138" spans="46:46" ht="28.8" x14ac:dyDescent="0.3">
      <c r="AT138" s="4" t="s">
        <v>16</v>
      </c>
    </row>
    <row r="139" spans="46:46" ht="28.8" x14ac:dyDescent="0.3">
      <c r="AT139" s="4" t="s">
        <v>16</v>
      </c>
    </row>
    <row r="140" spans="46:46" ht="28.8" x14ac:dyDescent="0.3">
      <c r="AT140" s="4" t="s">
        <v>16</v>
      </c>
    </row>
    <row r="141" spans="46:46" ht="28.8" x14ac:dyDescent="0.3">
      <c r="AT141" s="4" t="s">
        <v>16</v>
      </c>
    </row>
    <row r="142" spans="46:46" ht="28.8" x14ac:dyDescent="0.3">
      <c r="AT142" s="4" t="s">
        <v>16</v>
      </c>
    </row>
    <row r="143" spans="46:46" ht="28.8" x14ac:dyDescent="0.3">
      <c r="AT143" s="4" t="s">
        <v>16</v>
      </c>
    </row>
    <row r="144" spans="46:46" ht="28.8" x14ac:dyDescent="0.3">
      <c r="AT144" s="4" t="s">
        <v>16</v>
      </c>
    </row>
    <row r="145" spans="46:46" ht="28.8" x14ac:dyDescent="0.3">
      <c r="AT145" s="4" t="s">
        <v>16</v>
      </c>
    </row>
    <row r="146" spans="46:46" ht="28.8" x14ac:dyDescent="0.3">
      <c r="AT146" s="4" t="s">
        <v>16</v>
      </c>
    </row>
    <row r="147" spans="46:46" ht="28.8" x14ac:dyDescent="0.3">
      <c r="AT147" s="4" t="s">
        <v>16</v>
      </c>
    </row>
    <row r="148" spans="46:46" ht="28.8" x14ac:dyDescent="0.3">
      <c r="AT148" s="4" t="s">
        <v>16</v>
      </c>
    </row>
    <row r="149" spans="46:46" ht="28.8" x14ac:dyDescent="0.3">
      <c r="AT149" s="4" t="s">
        <v>16</v>
      </c>
    </row>
    <row r="150" spans="46:46" ht="28.8" x14ac:dyDescent="0.3">
      <c r="AT150" s="4" t="s">
        <v>16</v>
      </c>
    </row>
    <row r="151" spans="46:46" ht="28.8" x14ac:dyDescent="0.3">
      <c r="AT151" s="4" t="s">
        <v>16</v>
      </c>
    </row>
    <row r="152" spans="46:46" ht="28.8" x14ac:dyDescent="0.3">
      <c r="AT152" s="4" t="s">
        <v>16</v>
      </c>
    </row>
    <row r="153" spans="46:46" ht="28.8" x14ac:dyDescent="0.3">
      <c r="AT153" s="4" t="s">
        <v>16</v>
      </c>
    </row>
    <row r="154" spans="46:46" ht="28.8" x14ac:dyDescent="0.3">
      <c r="AT154" s="4" t="s">
        <v>16</v>
      </c>
    </row>
    <row r="155" spans="46:46" ht="28.8" x14ac:dyDescent="0.3">
      <c r="AT155" s="4" t="s">
        <v>16</v>
      </c>
    </row>
    <row r="156" spans="46:46" ht="28.8" x14ac:dyDescent="0.3">
      <c r="AT156" s="4" t="s">
        <v>16</v>
      </c>
    </row>
    <row r="157" spans="46:46" ht="28.8" x14ac:dyDescent="0.3">
      <c r="AT157" s="4" t="s">
        <v>16</v>
      </c>
    </row>
    <row r="158" spans="46:46" ht="28.8" x14ac:dyDescent="0.3">
      <c r="AT158" s="4" t="s">
        <v>16</v>
      </c>
    </row>
    <row r="159" spans="46:46" ht="28.8" x14ac:dyDescent="0.3">
      <c r="AT159" s="4" t="s">
        <v>16</v>
      </c>
    </row>
    <row r="160" spans="46:46" ht="28.8" x14ac:dyDescent="0.3">
      <c r="AT160" s="4" t="s">
        <v>16</v>
      </c>
    </row>
    <row r="161" spans="46:46" ht="28.8" x14ac:dyDescent="0.3">
      <c r="AT161" s="4" t="s">
        <v>16</v>
      </c>
    </row>
    <row r="162" spans="46:46" ht="28.8" x14ac:dyDescent="0.3">
      <c r="AT162" s="4" t="s">
        <v>16</v>
      </c>
    </row>
    <row r="163" spans="46:46" ht="28.8" x14ac:dyDescent="0.3">
      <c r="AT163" s="4" t="s">
        <v>16</v>
      </c>
    </row>
    <row r="164" spans="46:46" ht="28.8" x14ac:dyDescent="0.3">
      <c r="AT164" s="4" t="s">
        <v>16</v>
      </c>
    </row>
    <row r="165" spans="46:46" ht="28.8" x14ac:dyDescent="0.3">
      <c r="AT165" s="4" t="s">
        <v>16</v>
      </c>
    </row>
    <row r="166" spans="46:46" ht="28.8" x14ac:dyDescent="0.3">
      <c r="AT166" s="4" t="s">
        <v>16</v>
      </c>
    </row>
    <row r="167" spans="46:46" ht="28.8" x14ac:dyDescent="0.3">
      <c r="AT167" s="4" t="s">
        <v>16</v>
      </c>
    </row>
    <row r="168" spans="46:46" ht="28.8" x14ac:dyDescent="0.3">
      <c r="AT168" s="4" t="s">
        <v>16</v>
      </c>
    </row>
    <row r="169" spans="46:46" ht="28.8" x14ac:dyDescent="0.3">
      <c r="AT169" s="4" t="s">
        <v>16</v>
      </c>
    </row>
    <row r="170" spans="46:46" ht="28.8" x14ac:dyDescent="0.3">
      <c r="AT170" s="4" t="s">
        <v>16</v>
      </c>
    </row>
    <row r="171" spans="46:46" ht="28.8" x14ac:dyDescent="0.3">
      <c r="AT171" s="4" t="s">
        <v>16</v>
      </c>
    </row>
    <row r="172" spans="46:46" ht="28.8" x14ac:dyDescent="0.3">
      <c r="AT172" s="4" t="s">
        <v>16</v>
      </c>
    </row>
    <row r="173" spans="46:46" ht="28.8" x14ac:dyDescent="0.3">
      <c r="AT173" s="4" t="s">
        <v>16</v>
      </c>
    </row>
    <row r="174" spans="46:46" ht="28.8" x14ac:dyDescent="0.3">
      <c r="AT174" s="4" t="s">
        <v>16</v>
      </c>
    </row>
    <row r="175" spans="46:46" ht="28.8" x14ac:dyDescent="0.3">
      <c r="AT175" s="4" t="s">
        <v>16</v>
      </c>
    </row>
    <row r="176" spans="46:46" ht="28.8" x14ac:dyDescent="0.3">
      <c r="AT176" s="4" t="s">
        <v>16</v>
      </c>
    </row>
    <row r="177" spans="46:46" ht="28.8" x14ac:dyDescent="0.3">
      <c r="AT177" s="4" t="s">
        <v>16</v>
      </c>
    </row>
    <row r="178" spans="46:46" ht="28.8" x14ac:dyDescent="0.3">
      <c r="AT178" s="4" t="s">
        <v>16</v>
      </c>
    </row>
    <row r="179" spans="46:46" ht="28.8" x14ac:dyDescent="0.3">
      <c r="AT179" s="4" t="s">
        <v>16</v>
      </c>
    </row>
    <row r="180" spans="46:46" ht="28.8" x14ac:dyDescent="0.3">
      <c r="AT180" s="4" t="s">
        <v>16</v>
      </c>
    </row>
    <row r="181" spans="46:46" ht="28.8" x14ac:dyDescent="0.3">
      <c r="AT181" s="4" t="s">
        <v>16</v>
      </c>
    </row>
    <row r="182" spans="46:46" ht="28.8" x14ac:dyDescent="0.3">
      <c r="AT182" s="4" t="s">
        <v>16</v>
      </c>
    </row>
    <row r="183" spans="46:46" ht="28.8" x14ac:dyDescent="0.3">
      <c r="AT183" s="4" t="s">
        <v>16</v>
      </c>
    </row>
    <row r="184" spans="46:46" ht="28.8" x14ac:dyDescent="0.3">
      <c r="AT184" s="4" t="s">
        <v>16</v>
      </c>
    </row>
    <row r="185" spans="46:46" ht="28.8" x14ac:dyDescent="0.3">
      <c r="AT185" s="4" t="s">
        <v>16</v>
      </c>
    </row>
    <row r="186" spans="46:46" ht="28.8" x14ac:dyDescent="0.3">
      <c r="AT186" s="4" t="s">
        <v>16</v>
      </c>
    </row>
    <row r="187" spans="46:46" ht="28.8" x14ac:dyDescent="0.3">
      <c r="AT187" s="4" t="s">
        <v>16</v>
      </c>
    </row>
    <row r="188" spans="46:46" ht="28.8" x14ac:dyDescent="0.3">
      <c r="AT188" s="4" t="s">
        <v>16</v>
      </c>
    </row>
    <row r="189" spans="46:46" ht="28.8" x14ac:dyDescent="0.3">
      <c r="AT189" s="4" t="s">
        <v>16</v>
      </c>
    </row>
    <row r="190" spans="46:46" ht="28.8" x14ac:dyDescent="0.3">
      <c r="AT190" s="4" t="s">
        <v>16</v>
      </c>
    </row>
    <row r="191" spans="46:46" ht="28.8" x14ac:dyDescent="0.3">
      <c r="AT191" s="4" t="s">
        <v>16</v>
      </c>
    </row>
    <row r="192" spans="46:46" ht="28.8" x14ac:dyDescent="0.3">
      <c r="AT192" s="4" t="s">
        <v>16</v>
      </c>
    </row>
    <row r="193" spans="46:46" ht="28.8" x14ac:dyDescent="0.3">
      <c r="AT193" s="4" t="s">
        <v>16</v>
      </c>
    </row>
    <row r="194" spans="46:46" ht="28.8" x14ac:dyDescent="0.3">
      <c r="AT194" s="4" t="s">
        <v>16</v>
      </c>
    </row>
    <row r="195" spans="46:46" ht="28.8" x14ac:dyDescent="0.3">
      <c r="AT195" s="4" t="s">
        <v>16</v>
      </c>
    </row>
    <row r="196" spans="46:46" ht="28.8" x14ac:dyDescent="0.3">
      <c r="AT196" s="4" t="s">
        <v>16</v>
      </c>
    </row>
    <row r="197" spans="46:46" ht="28.8" x14ac:dyDescent="0.3">
      <c r="AT197" s="4" t="s">
        <v>16</v>
      </c>
    </row>
    <row r="198" spans="46:46" ht="28.8" x14ac:dyDescent="0.3">
      <c r="AT198" s="4" t="s">
        <v>16</v>
      </c>
    </row>
    <row r="199" spans="46:46" ht="28.8" x14ac:dyDescent="0.3">
      <c r="AT199" s="4" t="s">
        <v>16</v>
      </c>
    </row>
    <row r="200" spans="46:46" ht="28.8" x14ac:dyDescent="0.3">
      <c r="AT200" s="4" t="s">
        <v>16</v>
      </c>
    </row>
    <row r="201" spans="46:46" ht="28.8" x14ac:dyDescent="0.3">
      <c r="AT201" s="4" t="s">
        <v>16</v>
      </c>
    </row>
    <row r="202" spans="46:46" ht="28.8" x14ac:dyDescent="0.3">
      <c r="AT202" s="4" t="s">
        <v>16</v>
      </c>
    </row>
    <row r="203" spans="46:46" ht="28.8" x14ac:dyDescent="0.3">
      <c r="AT203" s="4" t="s">
        <v>16</v>
      </c>
    </row>
    <row r="204" spans="46:46" ht="28.8" x14ac:dyDescent="0.3">
      <c r="AT204" s="4" t="s">
        <v>16</v>
      </c>
    </row>
    <row r="205" spans="46:46" ht="28.8" x14ac:dyDescent="0.3">
      <c r="AT205" s="4" t="s">
        <v>16</v>
      </c>
    </row>
    <row r="206" spans="46:46" ht="28.8" x14ac:dyDescent="0.3">
      <c r="AT206" s="4" t="s">
        <v>16</v>
      </c>
    </row>
    <row r="207" spans="46:46" ht="28.8" x14ac:dyDescent="0.3">
      <c r="AT207" s="4" t="s">
        <v>16</v>
      </c>
    </row>
    <row r="208" spans="46:46" ht="28.8" x14ac:dyDescent="0.3">
      <c r="AT208" s="4" t="s">
        <v>16</v>
      </c>
    </row>
    <row r="209" spans="46:46" ht="28.8" x14ac:dyDescent="0.3">
      <c r="AT209" s="4" t="s">
        <v>16</v>
      </c>
    </row>
    <row r="210" spans="46:46" ht="28.8" x14ac:dyDescent="0.3">
      <c r="AT210" s="4" t="s">
        <v>16</v>
      </c>
    </row>
    <row r="211" spans="46:46" ht="28.8" x14ac:dyDescent="0.3">
      <c r="AT211" s="4" t="s">
        <v>16</v>
      </c>
    </row>
    <row r="212" spans="46:46" ht="28.8" x14ac:dyDescent="0.3">
      <c r="AT212" s="4" t="s">
        <v>16</v>
      </c>
    </row>
    <row r="213" spans="46:46" ht="28.8" x14ac:dyDescent="0.3">
      <c r="AT213" s="4" t="s">
        <v>16</v>
      </c>
    </row>
    <row r="214" spans="46:46" ht="28.8" x14ac:dyDescent="0.3">
      <c r="AT214" s="4" t="s">
        <v>16</v>
      </c>
    </row>
    <row r="215" spans="46:46" ht="28.8" x14ac:dyDescent="0.3">
      <c r="AT215" s="4" t="s">
        <v>16</v>
      </c>
    </row>
    <row r="216" spans="46:46" ht="28.8" x14ac:dyDescent="0.3">
      <c r="AT216" s="4" t="s">
        <v>16</v>
      </c>
    </row>
    <row r="217" spans="46:46" ht="28.8" x14ac:dyDescent="0.3">
      <c r="AT217" s="4" t="s">
        <v>16</v>
      </c>
    </row>
    <row r="218" spans="46:46" ht="28.8" x14ac:dyDescent="0.3">
      <c r="AT218" s="4" t="s">
        <v>16</v>
      </c>
    </row>
    <row r="219" spans="46:46" ht="28.8" x14ac:dyDescent="0.3">
      <c r="AT219" s="4" t="s">
        <v>16</v>
      </c>
    </row>
    <row r="220" spans="46:46" ht="28.8" x14ac:dyDescent="0.3">
      <c r="AT220" s="4" t="s">
        <v>16</v>
      </c>
    </row>
    <row r="221" spans="46:46" ht="28.8" x14ac:dyDescent="0.3">
      <c r="AT221" s="4" t="s">
        <v>16</v>
      </c>
    </row>
    <row r="222" spans="46:46" ht="28.8" x14ac:dyDescent="0.3">
      <c r="AT222" s="4" t="s">
        <v>16</v>
      </c>
    </row>
    <row r="223" spans="46:46" ht="28.8" x14ac:dyDescent="0.3">
      <c r="AT223" s="4" t="s">
        <v>16</v>
      </c>
    </row>
    <row r="224" spans="46:46" ht="28.8" x14ac:dyDescent="0.3">
      <c r="AT224" s="4" t="s">
        <v>16</v>
      </c>
    </row>
    <row r="225" spans="46:46" ht="28.8" x14ac:dyDescent="0.3">
      <c r="AT225" s="4" t="s">
        <v>16</v>
      </c>
    </row>
    <row r="226" spans="46:46" ht="28.8" x14ac:dyDescent="0.3">
      <c r="AT226" s="4" t="s">
        <v>16</v>
      </c>
    </row>
    <row r="227" spans="46:46" ht="28.8" x14ac:dyDescent="0.3">
      <c r="AT227" s="4" t="s">
        <v>16</v>
      </c>
    </row>
    <row r="228" spans="46:46" ht="28.8" x14ac:dyDescent="0.3">
      <c r="AT228" s="4" t="s">
        <v>16</v>
      </c>
    </row>
    <row r="229" spans="46:46" ht="28.8" x14ac:dyDescent="0.3">
      <c r="AT229" s="4" t="s">
        <v>16</v>
      </c>
    </row>
    <row r="230" spans="46:46" ht="28.8" x14ac:dyDescent="0.3">
      <c r="AT230" s="4" t="s">
        <v>16</v>
      </c>
    </row>
    <row r="231" spans="46:46" ht="28.8" x14ac:dyDescent="0.3">
      <c r="AT231" s="4" t="s">
        <v>16</v>
      </c>
    </row>
    <row r="232" spans="46:46" ht="28.8" x14ac:dyDescent="0.3">
      <c r="AT232" s="4" t="s">
        <v>16</v>
      </c>
    </row>
    <row r="233" spans="46:46" ht="28.8" x14ac:dyDescent="0.3">
      <c r="AT233" s="4" t="s">
        <v>16</v>
      </c>
    </row>
    <row r="234" spans="46:46" ht="28.8" x14ac:dyDescent="0.3">
      <c r="AT234" s="4" t="s">
        <v>16</v>
      </c>
    </row>
    <row r="235" spans="46:46" ht="28.8" x14ac:dyDescent="0.3">
      <c r="AT235" s="4" t="s">
        <v>16</v>
      </c>
    </row>
    <row r="236" spans="46:46" ht="28.8" x14ac:dyDescent="0.3">
      <c r="AT236" s="4" t="s">
        <v>16</v>
      </c>
    </row>
    <row r="237" spans="46:46" ht="28.8" x14ac:dyDescent="0.3">
      <c r="AT237" s="4" t="s">
        <v>16</v>
      </c>
    </row>
    <row r="238" spans="46:46" ht="28.8" x14ac:dyDescent="0.3">
      <c r="AT238" s="4" t="s">
        <v>16</v>
      </c>
    </row>
    <row r="239" spans="46:46" ht="28.8" x14ac:dyDescent="0.3">
      <c r="AT239" s="4" t="s">
        <v>16</v>
      </c>
    </row>
    <row r="240" spans="46:46" ht="28.8" x14ac:dyDescent="0.3">
      <c r="AT240" s="4" t="s">
        <v>16</v>
      </c>
    </row>
    <row r="241" spans="46:46" ht="28.8" x14ac:dyDescent="0.3">
      <c r="AT241" s="4" t="s">
        <v>16</v>
      </c>
    </row>
    <row r="242" spans="46:46" ht="28.8" x14ac:dyDescent="0.3">
      <c r="AT242" s="4" t="s">
        <v>16</v>
      </c>
    </row>
    <row r="243" spans="46:46" ht="28.8" x14ac:dyDescent="0.3">
      <c r="AT243" s="4" t="s">
        <v>16</v>
      </c>
    </row>
    <row r="244" spans="46:46" ht="28.8" x14ac:dyDescent="0.3">
      <c r="AT244" s="4" t="s">
        <v>16</v>
      </c>
    </row>
    <row r="245" spans="46:46" ht="28.8" x14ac:dyDescent="0.3">
      <c r="AT245" s="4" t="s">
        <v>16</v>
      </c>
    </row>
    <row r="246" spans="46:46" ht="28.8" x14ac:dyDescent="0.3">
      <c r="AT246" s="4" t="s">
        <v>16</v>
      </c>
    </row>
    <row r="247" spans="46:46" ht="28.8" x14ac:dyDescent="0.3">
      <c r="AT247" s="4" t="s">
        <v>16</v>
      </c>
    </row>
    <row r="248" spans="46:46" ht="28.8" x14ac:dyDescent="0.3">
      <c r="AT248" s="4" t="s">
        <v>16</v>
      </c>
    </row>
    <row r="249" spans="46:46" ht="28.8" x14ac:dyDescent="0.3">
      <c r="AT249" s="4" t="s">
        <v>16</v>
      </c>
    </row>
    <row r="250" spans="46:46" ht="28.8" x14ac:dyDescent="0.3">
      <c r="AT250" s="4" t="s">
        <v>16</v>
      </c>
    </row>
    <row r="251" spans="46:46" ht="28.8" x14ac:dyDescent="0.3">
      <c r="AT251" s="4" t="s">
        <v>16</v>
      </c>
    </row>
    <row r="252" spans="46:46" ht="28.8" x14ac:dyDescent="0.3">
      <c r="AT252" s="4" t="s">
        <v>16</v>
      </c>
    </row>
    <row r="253" spans="46:46" ht="28.8" x14ac:dyDescent="0.3">
      <c r="AT253" s="4" t="s">
        <v>16</v>
      </c>
    </row>
    <row r="254" spans="46:46" ht="28.8" x14ac:dyDescent="0.3">
      <c r="AT254" s="4" t="s">
        <v>16</v>
      </c>
    </row>
    <row r="255" spans="46:46" ht="28.8" x14ac:dyDescent="0.3">
      <c r="AT255" s="4" t="s">
        <v>16</v>
      </c>
    </row>
    <row r="256" spans="46:46" ht="28.8" x14ac:dyDescent="0.3">
      <c r="AT256" s="4" t="s">
        <v>16</v>
      </c>
    </row>
    <row r="257" spans="46:46" ht="28.8" x14ac:dyDescent="0.3">
      <c r="AT257" s="4" t="s">
        <v>16</v>
      </c>
    </row>
    <row r="258" spans="46:46" ht="28.8" x14ac:dyDescent="0.3">
      <c r="AT258" s="4" t="s">
        <v>16</v>
      </c>
    </row>
    <row r="259" spans="46:46" ht="28.8" x14ac:dyDescent="0.3">
      <c r="AT259" s="4" t="s">
        <v>16</v>
      </c>
    </row>
    <row r="260" spans="46:46" ht="28.8" x14ac:dyDescent="0.3">
      <c r="AT260" s="4" t="s">
        <v>16</v>
      </c>
    </row>
    <row r="261" spans="46:46" ht="28.8" x14ac:dyDescent="0.3">
      <c r="AT261" s="4" t="s">
        <v>16</v>
      </c>
    </row>
    <row r="262" spans="46:46" ht="28.8" x14ac:dyDescent="0.3">
      <c r="AT262" s="4" t="s">
        <v>16</v>
      </c>
    </row>
    <row r="263" spans="46:46" ht="28.8" x14ac:dyDescent="0.3">
      <c r="AT263" s="4" t="s">
        <v>16</v>
      </c>
    </row>
    <row r="264" spans="46:46" ht="28.8" x14ac:dyDescent="0.3">
      <c r="AT264" s="4" t="s">
        <v>16</v>
      </c>
    </row>
    <row r="265" spans="46:46" ht="28.8" x14ac:dyDescent="0.3">
      <c r="AT265" s="4" t="s">
        <v>16</v>
      </c>
    </row>
    <row r="266" spans="46:46" ht="28.8" x14ac:dyDescent="0.3">
      <c r="AT266" s="4" t="s">
        <v>16</v>
      </c>
    </row>
    <row r="267" spans="46:46" ht="28.8" x14ac:dyDescent="0.3">
      <c r="AT267" s="4" t="s">
        <v>16</v>
      </c>
    </row>
    <row r="268" spans="46:46" ht="28.8" x14ac:dyDescent="0.3">
      <c r="AT268" s="4" t="s">
        <v>16</v>
      </c>
    </row>
    <row r="269" spans="46:46" ht="28.8" x14ac:dyDescent="0.3">
      <c r="AT269" s="4" t="s">
        <v>16</v>
      </c>
    </row>
    <row r="270" spans="46:46" ht="28.8" x14ac:dyDescent="0.3">
      <c r="AT270" s="4" t="s">
        <v>16</v>
      </c>
    </row>
    <row r="271" spans="46:46" ht="28.8" x14ac:dyDescent="0.3">
      <c r="AT271" s="4" t="s">
        <v>16</v>
      </c>
    </row>
    <row r="272" spans="46:46" ht="28.8" x14ac:dyDescent="0.3">
      <c r="AT272" s="4" t="s">
        <v>16</v>
      </c>
    </row>
    <row r="273" spans="46:46" ht="28.8" x14ac:dyDescent="0.3">
      <c r="AT273" s="4" t="s">
        <v>16</v>
      </c>
    </row>
    <row r="274" spans="46:46" ht="28.8" x14ac:dyDescent="0.3">
      <c r="AT274" s="4" t="s">
        <v>16</v>
      </c>
    </row>
    <row r="275" spans="46:46" ht="28.8" x14ac:dyDescent="0.3">
      <c r="AT275" s="4" t="s">
        <v>16</v>
      </c>
    </row>
    <row r="276" spans="46:46" ht="28.8" x14ac:dyDescent="0.3">
      <c r="AT276" s="4" t="s">
        <v>16</v>
      </c>
    </row>
    <row r="277" spans="46:46" ht="28.8" x14ac:dyDescent="0.3">
      <c r="AT277" s="4" t="s">
        <v>16</v>
      </c>
    </row>
    <row r="278" spans="46:46" ht="28.8" x14ac:dyDescent="0.3">
      <c r="AT278" s="4" t="s">
        <v>16</v>
      </c>
    </row>
    <row r="279" spans="46:46" ht="28.8" x14ac:dyDescent="0.3">
      <c r="AT279" s="4" t="s">
        <v>16</v>
      </c>
    </row>
    <row r="280" spans="46:46" ht="28.8" x14ac:dyDescent="0.3">
      <c r="AT280" s="4" t="s">
        <v>16</v>
      </c>
    </row>
    <row r="281" spans="46:46" ht="28.8" x14ac:dyDescent="0.3">
      <c r="AT281" s="4" t="s">
        <v>16</v>
      </c>
    </row>
    <row r="282" spans="46:46" ht="28.8" x14ac:dyDescent="0.3">
      <c r="AT282" s="4" t="s">
        <v>16</v>
      </c>
    </row>
    <row r="283" spans="46:46" ht="28.8" x14ac:dyDescent="0.3">
      <c r="AT283" s="4" t="s">
        <v>16</v>
      </c>
    </row>
    <row r="284" spans="46:46" ht="28.8" x14ac:dyDescent="0.3">
      <c r="AT284" s="4" t="s">
        <v>16</v>
      </c>
    </row>
    <row r="285" spans="46:46" ht="28.8" x14ac:dyDescent="0.3">
      <c r="AT285" s="4" t="s">
        <v>16</v>
      </c>
    </row>
    <row r="286" spans="46:46" ht="28.8" x14ac:dyDescent="0.3">
      <c r="AT286" s="4" t="s">
        <v>16</v>
      </c>
    </row>
    <row r="287" spans="46:46" ht="28.8" x14ac:dyDescent="0.3">
      <c r="AT287" s="4" t="s">
        <v>16</v>
      </c>
    </row>
    <row r="288" spans="46:46" ht="28.8" x14ac:dyDescent="0.3">
      <c r="AT288" s="4" t="s">
        <v>16</v>
      </c>
    </row>
    <row r="289" spans="46:46" ht="28.8" x14ac:dyDescent="0.3">
      <c r="AT289" s="4" t="s">
        <v>16</v>
      </c>
    </row>
    <row r="290" spans="46:46" ht="28.8" x14ac:dyDescent="0.3">
      <c r="AT290" s="4" t="s">
        <v>16</v>
      </c>
    </row>
    <row r="291" spans="46:46" ht="28.8" x14ac:dyDescent="0.3">
      <c r="AT291" s="4" t="s">
        <v>16</v>
      </c>
    </row>
    <row r="292" spans="46:46" ht="28.8" x14ac:dyDescent="0.3">
      <c r="AT292" s="4" t="s">
        <v>16</v>
      </c>
    </row>
    <row r="293" spans="46:46" ht="28.8" x14ac:dyDescent="0.3">
      <c r="AT293" s="4" t="s">
        <v>16</v>
      </c>
    </row>
    <row r="294" spans="46:46" ht="28.8" x14ac:dyDescent="0.3">
      <c r="AT294" s="4" t="s">
        <v>16</v>
      </c>
    </row>
    <row r="295" spans="46:46" ht="28.8" x14ac:dyDescent="0.3">
      <c r="AT295" s="4" t="s">
        <v>16</v>
      </c>
    </row>
    <row r="296" spans="46:46" ht="28.8" x14ac:dyDescent="0.3">
      <c r="AT296" s="4" t="s">
        <v>16</v>
      </c>
    </row>
    <row r="297" spans="46:46" ht="28.8" x14ac:dyDescent="0.3">
      <c r="AT297" s="4" t="s">
        <v>16</v>
      </c>
    </row>
    <row r="298" spans="46:46" ht="28.8" x14ac:dyDescent="0.3">
      <c r="AT298" s="4" t="s">
        <v>16</v>
      </c>
    </row>
    <row r="299" spans="46:46" ht="28.8" x14ac:dyDescent="0.3">
      <c r="AT299" s="4" t="s">
        <v>16</v>
      </c>
    </row>
    <row r="300" spans="46:46" ht="28.8" x14ac:dyDescent="0.3">
      <c r="AT300" s="4" t="s">
        <v>16</v>
      </c>
    </row>
    <row r="301" spans="46:46" ht="28.8" x14ac:dyDescent="0.3">
      <c r="AT301" s="4" t="s">
        <v>16</v>
      </c>
    </row>
    <row r="302" spans="46:46" ht="28.8" x14ac:dyDescent="0.3">
      <c r="AT302" s="4" t="s">
        <v>16</v>
      </c>
    </row>
    <row r="303" spans="46:46" ht="28.8" x14ac:dyDescent="0.3">
      <c r="AT303" s="4" t="s">
        <v>16</v>
      </c>
    </row>
    <row r="304" spans="46:46" ht="28.8" x14ac:dyDescent="0.3">
      <c r="AT304" s="4" t="s">
        <v>16</v>
      </c>
    </row>
    <row r="305" spans="46:46" ht="28.8" x14ac:dyDescent="0.3">
      <c r="AT305" s="4" t="s">
        <v>16</v>
      </c>
    </row>
    <row r="306" spans="46:46" ht="28.8" x14ac:dyDescent="0.3">
      <c r="AT306" s="4" t="s">
        <v>16</v>
      </c>
    </row>
    <row r="307" spans="46:46" ht="28.8" x14ac:dyDescent="0.3">
      <c r="AT307" s="4" t="s">
        <v>16</v>
      </c>
    </row>
    <row r="308" spans="46:46" ht="28.8" x14ac:dyDescent="0.3">
      <c r="AT308" s="4" t="s">
        <v>16</v>
      </c>
    </row>
    <row r="309" spans="46:46" ht="28.8" x14ac:dyDescent="0.3">
      <c r="AT309" s="4" t="s">
        <v>16</v>
      </c>
    </row>
    <row r="310" spans="46:46" ht="28.8" x14ac:dyDescent="0.3">
      <c r="AT310" s="4" t="s">
        <v>16</v>
      </c>
    </row>
    <row r="311" spans="46:46" ht="28.8" x14ac:dyDescent="0.3">
      <c r="AT311" s="4" t="s">
        <v>16</v>
      </c>
    </row>
    <row r="312" spans="46:46" ht="28.8" x14ac:dyDescent="0.3">
      <c r="AT312" s="4" t="s">
        <v>16</v>
      </c>
    </row>
    <row r="313" spans="46:46" ht="28.8" x14ac:dyDescent="0.3">
      <c r="AT313" s="4" t="s">
        <v>16</v>
      </c>
    </row>
    <row r="314" spans="46:46" ht="28.8" x14ac:dyDescent="0.3">
      <c r="AT314" s="4" t="s">
        <v>16</v>
      </c>
    </row>
    <row r="315" spans="46:46" ht="28.8" x14ac:dyDescent="0.3">
      <c r="AT315" s="4" t="s">
        <v>16</v>
      </c>
    </row>
    <row r="316" spans="46:46" ht="28.8" x14ac:dyDescent="0.3">
      <c r="AT316" s="4" t="s">
        <v>16</v>
      </c>
    </row>
    <row r="317" spans="46:46" ht="28.8" x14ac:dyDescent="0.3">
      <c r="AT317" s="4" t="s">
        <v>16</v>
      </c>
    </row>
    <row r="318" spans="46:46" ht="28.8" x14ac:dyDescent="0.3">
      <c r="AT318" s="4" t="s">
        <v>16</v>
      </c>
    </row>
    <row r="319" spans="46:46" ht="28.8" x14ac:dyDescent="0.3">
      <c r="AT319" s="4" t="s">
        <v>16</v>
      </c>
    </row>
    <row r="320" spans="46:46" ht="28.8" x14ac:dyDescent="0.3">
      <c r="AT320" s="4" t="s">
        <v>16</v>
      </c>
    </row>
    <row r="321" spans="46:46" ht="28.8" x14ac:dyDescent="0.3">
      <c r="AT321" s="4" t="s">
        <v>16</v>
      </c>
    </row>
    <row r="322" spans="46:46" ht="28.8" x14ac:dyDescent="0.3">
      <c r="AT322" s="4" t="s">
        <v>16</v>
      </c>
    </row>
    <row r="323" spans="46:46" ht="28.8" x14ac:dyDescent="0.3">
      <c r="AT323" s="4" t="s">
        <v>16</v>
      </c>
    </row>
    <row r="324" spans="46:46" ht="28.8" x14ac:dyDescent="0.3">
      <c r="AT324" s="4" t="s">
        <v>16</v>
      </c>
    </row>
    <row r="325" spans="46:46" ht="28.8" x14ac:dyDescent="0.3">
      <c r="AT325" s="4" t="s">
        <v>16</v>
      </c>
    </row>
    <row r="326" spans="46:46" ht="28.8" x14ac:dyDescent="0.3">
      <c r="AT326" s="4" t="s">
        <v>16</v>
      </c>
    </row>
    <row r="327" spans="46:46" ht="28.8" x14ac:dyDescent="0.3">
      <c r="AT327" s="4" t="s">
        <v>16</v>
      </c>
    </row>
    <row r="328" spans="46:46" ht="28.8" x14ac:dyDescent="0.3">
      <c r="AT328" s="4" t="s">
        <v>16</v>
      </c>
    </row>
    <row r="329" spans="46:46" ht="28.8" x14ac:dyDescent="0.3">
      <c r="AT329" s="4" t="s">
        <v>16</v>
      </c>
    </row>
    <row r="330" spans="46:46" ht="28.8" x14ac:dyDescent="0.3">
      <c r="AT330" s="4" t="s">
        <v>16</v>
      </c>
    </row>
    <row r="331" spans="46:46" ht="28.8" x14ac:dyDescent="0.3">
      <c r="AT331" s="4" t="s">
        <v>16</v>
      </c>
    </row>
    <row r="332" spans="46:46" ht="28.8" x14ac:dyDescent="0.3">
      <c r="AT332" s="4" t="s">
        <v>16</v>
      </c>
    </row>
    <row r="333" spans="46:46" ht="28.8" x14ac:dyDescent="0.3">
      <c r="AT333" s="4" t="s">
        <v>16</v>
      </c>
    </row>
    <row r="334" spans="46:46" ht="28.8" x14ac:dyDescent="0.3">
      <c r="AT334" s="4" t="s">
        <v>16</v>
      </c>
    </row>
    <row r="335" spans="46:46" ht="28.8" x14ac:dyDescent="0.3">
      <c r="AT335" s="4" t="s">
        <v>16</v>
      </c>
    </row>
    <row r="336" spans="46:46" ht="28.8" x14ac:dyDescent="0.3">
      <c r="AT336" s="4" t="s">
        <v>16</v>
      </c>
    </row>
    <row r="337" spans="46:46" ht="28.8" x14ac:dyDescent="0.3">
      <c r="AT337" s="4" t="s">
        <v>16</v>
      </c>
    </row>
    <row r="338" spans="46:46" ht="28.8" x14ac:dyDescent="0.3">
      <c r="AT338" s="4" t="s">
        <v>16</v>
      </c>
    </row>
    <row r="339" spans="46:46" ht="28.8" x14ac:dyDescent="0.3">
      <c r="AT339" s="4" t="s">
        <v>16</v>
      </c>
    </row>
    <row r="340" spans="46:46" ht="28.8" x14ac:dyDescent="0.3">
      <c r="AT340" s="4" t="s">
        <v>16</v>
      </c>
    </row>
    <row r="341" spans="46:46" ht="28.8" x14ac:dyDescent="0.3">
      <c r="AT341" s="4" t="s">
        <v>16</v>
      </c>
    </row>
    <row r="342" spans="46:46" ht="28.8" x14ac:dyDescent="0.3">
      <c r="AT342" s="4" t="s">
        <v>16</v>
      </c>
    </row>
    <row r="343" spans="46:46" ht="28.8" x14ac:dyDescent="0.3">
      <c r="AT343" s="4" t="s">
        <v>16</v>
      </c>
    </row>
    <row r="344" spans="46:46" ht="28.8" x14ac:dyDescent="0.3">
      <c r="AT344" s="4" t="s">
        <v>16</v>
      </c>
    </row>
    <row r="345" spans="46:46" ht="28.8" x14ac:dyDescent="0.3">
      <c r="AT345" s="4" t="s">
        <v>16</v>
      </c>
    </row>
    <row r="346" spans="46:46" ht="28.8" x14ac:dyDescent="0.3">
      <c r="AT346" s="4" t="s">
        <v>16</v>
      </c>
    </row>
    <row r="347" spans="46:46" ht="28.8" x14ac:dyDescent="0.3">
      <c r="AT347" s="4" t="s">
        <v>16</v>
      </c>
    </row>
    <row r="348" spans="46:46" ht="28.8" x14ac:dyDescent="0.3">
      <c r="AT348" s="4" t="s">
        <v>16</v>
      </c>
    </row>
    <row r="349" spans="46:46" ht="28.8" x14ac:dyDescent="0.3">
      <c r="AT349" s="4" t="s">
        <v>16</v>
      </c>
    </row>
    <row r="350" spans="46:46" ht="28.8" x14ac:dyDescent="0.3">
      <c r="AT350" s="4" t="s">
        <v>16</v>
      </c>
    </row>
    <row r="351" spans="46:46" ht="28.8" x14ac:dyDescent="0.3">
      <c r="AT351" s="4" t="s">
        <v>16</v>
      </c>
    </row>
    <row r="352" spans="46:46" ht="28.8" x14ac:dyDescent="0.3">
      <c r="AT352" s="4" t="s">
        <v>16</v>
      </c>
    </row>
    <row r="353" spans="46:46" ht="28.8" x14ac:dyDescent="0.3">
      <c r="AT353" s="4" t="s">
        <v>16</v>
      </c>
    </row>
    <row r="354" spans="46:46" ht="28.8" x14ac:dyDescent="0.3">
      <c r="AT354" s="4" t="s">
        <v>16</v>
      </c>
    </row>
    <row r="355" spans="46:46" ht="28.8" x14ac:dyDescent="0.3">
      <c r="AT355" s="4" t="s">
        <v>16</v>
      </c>
    </row>
    <row r="356" spans="46:46" ht="28.8" x14ac:dyDescent="0.3">
      <c r="AT356" s="4" t="s">
        <v>16</v>
      </c>
    </row>
    <row r="357" spans="46:46" ht="28.8" x14ac:dyDescent="0.3">
      <c r="AT357" s="4" t="s">
        <v>16</v>
      </c>
    </row>
    <row r="358" spans="46:46" ht="28.8" x14ac:dyDescent="0.3">
      <c r="AT358" s="4" t="s">
        <v>16</v>
      </c>
    </row>
    <row r="359" spans="46:46" ht="28.8" x14ac:dyDescent="0.3">
      <c r="AT359" s="4" t="s">
        <v>16</v>
      </c>
    </row>
    <row r="360" spans="46:46" ht="28.8" x14ac:dyDescent="0.3">
      <c r="AT360" s="4" t="s">
        <v>16</v>
      </c>
    </row>
    <row r="361" spans="46:46" ht="28.8" x14ac:dyDescent="0.3">
      <c r="AT361" s="4" t="s">
        <v>16</v>
      </c>
    </row>
    <row r="362" spans="46:46" ht="28.8" x14ac:dyDescent="0.3">
      <c r="AT362" s="4" t="s">
        <v>16</v>
      </c>
    </row>
    <row r="363" spans="46:46" ht="28.8" x14ac:dyDescent="0.3">
      <c r="AT363" s="4" t="s">
        <v>16</v>
      </c>
    </row>
    <row r="364" spans="46:46" ht="28.8" x14ac:dyDescent="0.3">
      <c r="AT364" s="4" t="s">
        <v>16</v>
      </c>
    </row>
    <row r="365" spans="46:46" ht="28.8" x14ac:dyDescent="0.3">
      <c r="AT365" s="4" t="s">
        <v>16</v>
      </c>
    </row>
    <row r="366" spans="46:46" ht="28.8" x14ac:dyDescent="0.3">
      <c r="AT366" s="4" t="s">
        <v>16</v>
      </c>
    </row>
    <row r="367" spans="46:46" ht="28.8" x14ac:dyDescent="0.3">
      <c r="AT367" s="4" t="s">
        <v>16</v>
      </c>
    </row>
    <row r="368" spans="46:46" ht="28.8" x14ac:dyDescent="0.3">
      <c r="AT368" s="4" t="s">
        <v>16</v>
      </c>
    </row>
    <row r="369" spans="46:46" ht="28.8" x14ac:dyDescent="0.3">
      <c r="AT369" s="4" t="s">
        <v>16</v>
      </c>
    </row>
    <row r="370" spans="46:46" ht="28.8" x14ac:dyDescent="0.3">
      <c r="AT370" s="4" t="s">
        <v>16</v>
      </c>
    </row>
    <row r="371" spans="46:46" ht="28.8" x14ac:dyDescent="0.3">
      <c r="AT371" s="4" t="s">
        <v>16</v>
      </c>
    </row>
    <row r="372" spans="46:46" ht="28.8" x14ac:dyDescent="0.3">
      <c r="AT372" s="4" t="s">
        <v>16</v>
      </c>
    </row>
    <row r="373" spans="46:46" ht="28.8" x14ac:dyDescent="0.3">
      <c r="AT373" s="4" t="s">
        <v>16</v>
      </c>
    </row>
    <row r="374" spans="46:46" ht="28.8" x14ac:dyDescent="0.3">
      <c r="AT374" s="4" t="s">
        <v>16</v>
      </c>
    </row>
    <row r="375" spans="46:46" ht="28.8" x14ac:dyDescent="0.3">
      <c r="AT375" s="4" t="s">
        <v>16</v>
      </c>
    </row>
    <row r="376" spans="46:46" ht="28.8" x14ac:dyDescent="0.3">
      <c r="AT376" s="4" t="s">
        <v>16</v>
      </c>
    </row>
    <row r="377" spans="46:46" ht="28.8" x14ac:dyDescent="0.3">
      <c r="AT377" s="4" t="s">
        <v>16</v>
      </c>
    </row>
    <row r="378" spans="46:46" ht="28.8" x14ac:dyDescent="0.3">
      <c r="AT378" s="4" t="s">
        <v>16</v>
      </c>
    </row>
    <row r="379" spans="46:46" ht="28.8" x14ac:dyDescent="0.3">
      <c r="AT379" s="4" t="s">
        <v>16</v>
      </c>
    </row>
    <row r="380" spans="46:46" ht="28.8" x14ac:dyDescent="0.3">
      <c r="AT380" s="4" t="s">
        <v>16</v>
      </c>
    </row>
    <row r="381" spans="46:46" ht="28.8" x14ac:dyDescent="0.3">
      <c r="AT381" s="4" t="s">
        <v>16</v>
      </c>
    </row>
    <row r="382" spans="46:46" ht="28.8" x14ac:dyDescent="0.3">
      <c r="AT382" s="4" t="s">
        <v>16</v>
      </c>
    </row>
    <row r="383" spans="46:46" ht="28.8" x14ac:dyDescent="0.3">
      <c r="AT383" s="4" t="s">
        <v>16</v>
      </c>
    </row>
    <row r="384" spans="46:46" ht="28.8" x14ac:dyDescent="0.3">
      <c r="AT384" s="4" t="s">
        <v>16</v>
      </c>
    </row>
    <row r="385" spans="46:46" ht="28.8" x14ac:dyDescent="0.3">
      <c r="AT385" s="4" t="s">
        <v>16</v>
      </c>
    </row>
    <row r="386" spans="46:46" ht="28.8" x14ac:dyDescent="0.3">
      <c r="AT386" s="4" t="s">
        <v>16</v>
      </c>
    </row>
    <row r="387" spans="46:46" ht="28.8" x14ac:dyDescent="0.3">
      <c r="AT387" s="4" t="s">
        <v>16</v>
      </c>
    </row>
    <row r="388" spans="46:46" ht="28.8" x14ac:dyDescent="0.3">
      <c r="AT388" s="4" t="s">
        <v>16</v>
      </c>
    </row>
    <row r="389" spans="46:46" ht="28.8" x14ac:dyDescent="0.3">
      <c r="AT389" s="4" t="s">
        <v>16</v>
      </c>
    </row>
    <row r="390" spans="46:46" ht="28.8" x14ac:dyDescent="0.3">
      <c r="AT390" s="4" t="s">
        <v>16</v>
      </c>
    </row>
    <row r="391" spans="46:46" ht="28.8" x14ac:dyDescent="0.3">
      <c r="AT391" s="4" t="s">
        <v>16</v>
      </c>
    </row>
    <row r="392" spans="46:46" ht="28.8" x14ac:dyDescent="0.3">
      <c r="AT392" s="4" t="s">
        <v>16</v>
      </c>
    </row>
    <row r="393" spans="46:46" ht="28.8" x14ac:dyDescent="0.3">
      <c r="AT393" s="4" t="s">
        <v>16</v>
      </c>
    </row>
    <row r="394" spans="46:46" ht="28.8" x14ac:dyDescent="0.3">
      <c r="AT394" s="4" t="s">
        <v>16</v>
      </c>
    </row>
    <row r="395" spans="46:46" ht="28.8" x14ac:dyDescent="0.3">
      <c r="AT395" s="4" t="s">
        <v>16</v>
      </c>
    </row>
    <row r="396" spans="46:46" ht="28.8" x14ac:dyDescent="0.3">
      <c r="AT396" s="4" t="s">
        <v>16</v>
      </c>
    </row>
    <row r="397" spans="46:46" ht="28.8" x14ac:dyDescent="0.3">
      <c r="AT397" s="4" t="s">
        <v>16</v>
      </c>
    </row>
    <row r="398" spans="46:46" ht="28.8" x14ac:dyDescent="0.3">
      <c r="AT398" s="4" t="s">
        <v>16</v>
      </c>
    </row>
    <row r="399" spans="46:46" ht="28.8" x14ac:dyDescent="0.3">
      <c r="AT399" s="4" t="s">
        <v>16</v>
      </c>
    </row>
    <row r="400" spans="46:46" ht="28.8" x14ac:dyDescent="0.3">
      <c r="AT400" s="4" t="s">
        <v>16</v>
      </c>
    </row>
    <row r="401" spans="46:46" ht="28.8" x14ac:dyDescent="0.3">
      <c r="AT401" s="4" t="s">
        <v>16</v>
      </c>
    </row>
    <row r="402" spans="46:46" ht="28.8" x14ac:dyDescent="0.3">
      <c r="AT402" s="4" t="s">
        <v>16</v>
      </c>
    </row>
    <row r="403" spans="46:46" ht="28.8" x14ac:dyDescent="0.3">
      <c r="AT403" s="4" t="s">
        <v>16</v>
      </c>
    </row>
    <row r="404" spans="46:46" ht="28.8" x14ac:dyDescent="0.3">
      <c r="AT404" s="4" t="s">
        <v>16</v>
      </c>
    </row>
    <row r="405" spans="46:46" ht="28.8" x14ac:dyDescent="0.3">
      <c r="AT405" s="4" t="s">
        <v>16</v>
      </c>
    </row>
    <row r="406" spans="46:46" ht="28.8" x14ac:dyDescent="0.3">
      <c r="AT406" s="4" t="s">
        <v>16</v>
      </c>
    </row>
    <row r="407" spans="46:46" ht="28.8" x14ac:dyDescent="0.3">
      <c r="AT407" s="4" t="s">
        <v>16</v>
      </c>
    </row>
    <row r="408" spans="46:46" ht="28.8" x14ac:dyDescent="0.3">
      <c r="AT408" s="4" t="s">
        <v>16</v>
      </c>
    </row>
    <row r="409" spans="46:46" ht="28.8" x14ac:dyDescent="0.3">
      <c r="AT409" s="4" t="s">
        <v>16</v>
      </c>
    </row>
    <row r="410" spans="46:46" ht="28.8" x14ac:dyDescent="0.3">
      <c r="AT410" s="4" t="s">
        <v>16</v>
      </c>
    </row>
    <row r="411" spans="46:46" ht="28.8" x14ac:dyDescent="0.3">
      <c r="AT411" s="4" t="s">
        <v>16</v>
      </c>
    </row>
    <row r="412" spans="46:46" ht="28.8" x14ac:dyDescent="0.3">
      <c r="AT412" s="4" t="s">
        <v>16</v>
      </c>
    </row>
    <row r="413" spans="46:46" ht="28.8" x14ac:dyDescent="0.3">
      <c r="AT413" s="4" t="s">
        <v>16</v>
      </c>
    </row>
    <row r="414" spans="46:46" ht="28.8" x14ac:dyDescent="0.3">
      <c r="AT414" s="4" t="s">
        <v>16</v>
      </c>
    </row>
    <row r="415" spans="46:46" ht="28.8" x14ac:dyDescent="0.3">
      <c r="AT415" s="4" t="s">
        <v>16</v>
      </c>
    </row>
    <row r="416" spans="46:46" ht="28.8" x14ac:dyDescent="0.3">
      <c r="AT416" s="4" t="s">
        <v>16</v>
      </c>
    </row>
    <row r="417" spans="46:46" ht="28.8" x14ac:dyDescent="0.3">
      <c r="AT417" s="4" t="s">
        <v>16</v>
      </c>
    </row>
    <row r="418" spans="46:46" ht="28.8" x14ac:dyDescent="0.3">
      <c r="AT418" s="4" t="s">
        <v>16</v>
      </c>
    </row>
    <row r="419" spans="46:46" ht="28.8" x14ac:dyDescent="0.3">
      <c r="AT419" s="4" t="s">
        <v>16</v>
      </c>
    </row>
    <row r="420" spans="46:46" ht="28.8" x14ac:dyDescent="0.3">
      <c r="AT420" s="4" t="s">
        <v>16</v>
      </c>
    </row>
    <row r="421" spans="46:46" ht="28.8" x14ac:dyDescent="0.3">
      <c r="AT421" s="4" t="s">
        <v>16</v>
      </c>
    </row>
    <row r="422" spans="46:46" ht="28.8" x14ac:dyDescent="0.3">
      <c r="AT422" s="4" t="s">
        <v>16</v>
      </c>
    </row>
    <row r="423" spans="46:46" ht="28.8" x14ac:dyDescent="0.3">
      <c r="AT423" s="4" t="s">
        <v>16</v>
      </c>
    </row>
    <row r="424" spans="46:46" ht="28.8" x14ac:dyDescent="0.3">
      <c r="AT424" s="4" t="s">
        <v>16</v>
      </c>
    </row>
    <row r="425" spans="46:46" ht="28.8" x14ac:dyDescent="0.3">
      <c r="AT425" s="4" t="s">
        <v>16</v>
      </c>
    </row>
    <row r="426" spans="46:46" ht="28.8" x14ac:dyDescent="0.3">
      <c r="AT426" s="4" t="s">
        <v>16</v>
      </c>
    </row>
    <row r="427" spans="46:46" ht="28.8" x14ac:dyDescent="0.3">
      <c r="AT427" s="4" t="s">
        <v>16</v>
      </c>
    </row>
    <row r="428" spans="46:46" ht="28.8" x14ac:dyDescent="0.3">
      <c r="AT428" s="4" t="s">
        <v>16</v>
      </c>
    </row>
    <row r="429" spans="46:46" ht="28.8" x14ac:dyDescent="0.3">
      <c r="AT429" s="4" t="s">
        <v>16</v>
      </c>
    </row>
    <row r="430" spans="46:46" ht="28.8" x14ac:dyDescent="0.3">
      <c r="AT430" s="4" t="s">
        <v>16</v>
      </c>
    </row>
  </sheetData>
  <mergeCells count="13">
    <mergeCell ref="P2:P3"/>
    <mergeCell ref="D2:D3"/>
    <mergeCell ref="K2:K3"/>
    <mergeCell ref="A1:O1"/>
    <mergeCell ref="A2:A3"/>
    <mergeCell ref="B2:B3"/>
    <mergeCell ref="C2:C3"/>
    <mergeCell ref="E2:G2"/>
    <mergeCell ref="H2:J2"/>
    <mergeCell ref="L2:L3"/>
    <mergeCell ref="N2:N3"/>
    <mergeCell ref="O2:O3"/>
    <mergeCell ref="M2:M3"/>
  </mergeCells>
  <pageMargins left="0.55078125" right="0.5859375" top="1.13671875" bottom="0.32" header="0.48" footer="0.31496062992125984"/>
  <pageSetup paperSize="9" scale="61" fitToHeight="0" orientation="landscape" r:id="rId1"/>
  <headerFooter>
    <oddHeader xml:space="preserve">&amp;R&amp;"Times New Roman,Bold"&amp;16 2.pielikums Infrastruktūras izmantošanas valsts apmaksāto pakalpojumu 
sniegšanai un citu darbību veikšanai proporcijas aprēķināšanas 
un aprēķina iekļaušanas projekta iesnieguma veidlapā metodikai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70"/>
  <sheetViews>
    <sheetView view="pageBreakPreview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9.21875" defaultRowHeight="14.4" outlineLevelRow="1" x14ac:dyDescent="0.3"/>
  <cols>
    <col min="1" max="1" width="42.21875" style="2" customWidth="1"/>
    <col min="2" max="7" width="13.21875" style="2" customWidth="1"/>
    <col min="8" max="9" width="9.21875" style="2"/>
    <col min="10" max="14" width="12.77734375" style="2" customWidth="1"/>
    <col min="15" max="16384" width="9.21875" style="2"/>
  </cols>
  <sheetData>
    <row r="1" spans="1:14" s="4" customFormat="1" ht="40.5" customHeight="1" thickBot="1" x14ac:dyDescent="0.35">
      <c r="A1" s="167" t="s">
        <v>57</v>
      </c>
      <c r="B1" s="167"/>
      <c r="C1" s="167"/>
      <c r="D1" s="167"/>
      <c r="E1" s="167"/>
      <c r="F1" s="167"/>
      <c r="G1" s="167"/>
    </row>
    <row r="2" spans="1:14" s="1" customFormat="1" ht="33" customHeight="1" x14ac:dyDescent="0.3">
      <c r="A2" s="168"/>
      <c r="B2" s="159" t="s">
        <v>5</v>
      </c>
      <c r="C2" s="152" t="s">
        <v>56</v>
      </c>
      <c r="D2" s="159" t="s">
        <v>9</v>
      </c>
      <c r="E2" s="170"/>
      <c r="F2" s="170" t="s">
        <v>8</v>
      </c>
      <c r="G2" s="152"/>
      <c r="H2" s="21"/>
    </row>
    <row r="3" spans="1:14" s="1" customFormat="1" ht="43.8" thickBot="1" x14ac:dyDescent="0.35">
      <c r="A3" s="169"/>
      <c r="B3" s="160"/>
      <c r="C3" s="153"/>
      <c r="D3" s="15" t="s">
        <v>39</v>
      </c>
      <c r="E3" s="16" t="s">
        <v>17</v>
      </c>
      <c r="F3" s="16" t="s">
        <v>39</v>
      </c>
      <c r="G3" s="44" t="s">
        <v>17</v>
      </c>
      <c r="H3" s="21"/>
    </row>
    <row r="4" spans="1:14" ht="23.25" customHeight="1" x14ac:dyDescent="0.3">
      <c r="A4" s="17" t="s">
        <v>0</v>
      </c>
      <c r="B4" s="81">
        <v>400</v>
      </c>
      <c r="C4" s="82">
        <v>8760</v>
      </c>
      <c r="D4" s="83">
        <v>10000</v>
      </c>
      <c r="E4" s="84">
        <v>4</v>
      </c>
      <c r="F4" s="84">
        <v>100</v>
      </c>
      <c r="G4" s="85">
        <v>4</v>
      </c>
      <c r="H4" s="30"/>
    </row>
    <row r="5" spans="1:14" ht="23.25" customHeight="1" x14ac:dyDescent="0.3">
      <c r="A5" s="13" t="s">
        <v>11</v>
      </c>
      <c r="B5" s="86">
        <v>800</v>
      </c>
      <c r="C5" s="87">
        <v>2920</v>
      </c>
      <c r="D5" s="12">
        <v>2000</v>
      </c>
      <c r="E5" s="8">
        <v>4</v>
      </c>
      <c r="F5" s="8">
        <v>500</v>
      </c>
      <c r="G5" s="87">
        <v>2</v>
      </c>
      <c r="H5" s="30"/>
    </row>
    <row r="6" spans="1:14" ht="23.25" customHeight="1" x14ac:dyDescent="0.3">
      <c r="A6" s="13" t="s">
        <v>1</v>
      </c>
      <c r="B6" s="86">
        <v>200</v>
      </c>
      <c r="C6" s="87">
        <v>8760</v>
      </c>
      <c r="D6" s="12">
        <v>500</v>
      </c>
      <c r="E6" s="8">
        <v>72</v>
      </c>
      <c r="F6" s="8">
        <v>10</v>
      </c>
      <c r="G6" s="87">
        <v>48</v>
      </c>
      <c r="H6" s="30"/>
    </row>
    <row r="7" spans="1:14" ht="23.25" customHeight="1" x14ac:dyDescent="0.3">
      <c r="A7" s="13" t="s">
        <v>32</v>
      </c>
      <c r="B7" s="86">
        <v>400</v>
      </c>
      <c r="C7" s="87">
        <v>8760</v>
      </c>
      <c r="D7" s="86">
        <v>300</v>
      </c>
      <c r="E7" s="88">
        <v>72</v>
      </c>
      <c r="F7" s="88">
        <v>10</v>
      </c>
      <c r="G7" s="89">
        <v>72</v>
      </c>
      <c r="H7" s="30"/>
    </row>
    <row r="8" spans="1:14" ht="23.25" customHeight="1" x14ac:dyDescent="0.3">
      <c r="A8" s="13" t="s">
        <v>66</v>
      </c>
      <c r="B8" s="12">
        <f>B9+B10</f>
        <v>3000</v>
      </c>
      <c r="C8" s="33"/>
      <c r="D8" s="12">
        <f>D9+D10</f>
        <v>7500</v>
      </c>
      <c r="E8" s="32"/>
      <c r="F8" s="8">
        <f>F9+F10</f>
        <v>1500</v>
      </c>
      <c r="G8" s="33"/>
      <c r="H8" s="30"/>
    </row>
    <row r="9" spans="1:14" s="10" customFormat="1" ht="23.25" customHeight="1" outlineLevel="1" x14ac:dyDescent="0.3">
      <c r="A9" s="90" t="s">
        <v>81</v>
      </c>
      <c r="B9" s="86">
        <v>1000</v>
      </c>
      <c r="C9" s="89">
        <v>8760</v>
      </c>
      <c r="D9" s="86">
        <v>2500</v>
      </c>
      <c r="E9" s="88">
        <v>168</v>
      </c>
      <c r="F9" s="88">
        <v>500</v>
      </c>
      <c r="G9" s="89">
        <v>120</v>
      </c>
      <c r="H9" s="22"/>
    </row>
    <row r="10" spans="1:14" s="10" customFormat="1" ht="23.25" customHeight="1" outlineLevel="1" x14ac:dyDescent="0.3">
      <c r="A10" s="90" t="s">
        <v>82</v>
      </c>
      <c r="B10" s="86">
        <v>2000</v>
      </c>
      <c r="C10" s="91">
        <v>8760</v>
      </c>
      <c r="D10" s="86">
        <v>5000</v>
      </c>
      <c r="E10" s="88">
        <v>168</v>
      </c>
      <c r="F10" s="88">
        <v>1000</v>
      </c>
      <c r="G10" s="89">
        <v>120</v>
      </c>
      <c r="H10" s="22"/>
      <c r="J10" s="11"/>
      <c r="K10" s="11"/>
      <c r="L10" s="11"/>
      <c r="M10" s="11"/>
      <c r="N10" s="11"/>
    </row>
    <row r="11" spans="1:14" ht="23.25" customHeight="1" x14ac:dyDescent="0.3">
      <c r="A11" s="13" t="s">
        <v>54</v>
      </c>
      <c r="B11" s="12">
        <v>200</v>
      </c>
      <c r="C11" s="87">
        <v>3650</v>
      </c>
      <c r="D11" s="12">
        <v>4000</v>
      </c>
      <c r="E11" s="8">
        <v>4</v>
      </c>
      <c r="F11" s="8">
        <v>2000</v>
      </c>
      <c r="G11" s="87">
        <v>4</v>
      </c>
    </row>
    <row r="12" spans="1:14" ht="23.25" customHeight="1" x14ac:dyDescent="0.3">
      <c r="A12" s="13" t="s">
        <v>15</v>
      </c>
      <c r="B12" s="12">
        <v>200</v>
      </c>
      <c r="C12" s="87">
        <v>8760</v>
      </c>
      <c r="D12" s="12">
        <v>100</v>
      </c>
      <c r="E12" s="8">
        <v>72</v>
      </c>
      <c r="F12" s="8">
        <v>1000</v>
      </c>
      <c r="G12" s="87">
        <v>48</v>
      </c>
      <c r="H12" s="30"/>
    </row>
    <row r="13" spans="1:14" ht="23.25" customHeight="1" thickBot="1" x14ac:dyDescent="0.35">
      <c r="A13" s="14" t="s">
        <v>3</v>
      </c>
      <c r="B13" s="92">
        <v>200</v>
      </c>
      <c r="C13" s="93">
        <v>2920</v>
      </c>
      <c r="D13" s="92">
        <v>12000</v>
      </c>
      <c r="E13" s="94">
        <v>1</v>
      </c>
      <c r="F13" s="94">
        <v>4000</v>
      </c>
      <c r="G13" s="93">
        <v>1</v>
      </c>
      <c r="H13" s="30"/>
    </row>
    <row r="14" spans="1:14" ht="23.25" customHeight="1" x14ac:dyDescent="0.3">
      <c r="A14" t="s">
        <v>55</v>
      </c>
    </row>
    <row r="15" spans="1:14" ht="23.25" customHeight="1" x14ac:dyDescent="0.3"/>
    <row r="16" spans="1:14" ht="23.25" customHeight="1" x14ac:dyDescent="0.3"/>
    <row r="17" ht="23.25" customHeight="1" x14ac:dyDescent="0.3"/>
    <row r="18" ht="23.25" customHeight="1" x14ac:dyDescent="0.3"/>
    <row r="19" ht="23.25" customHeight="1" x14ac:dyDescent="0.3"/>
    <row r="20" ht="23.25" customHeight="1" x14ac:dyDescent="0.3"/>
    <row r="21" ht="23.25" customHeight="1" x14ac:dyDescent="0.3"/>
    <row r="22" ht="23.25" customHeight="1" x14ac:dyDescent="0.3"/>
    <row r="23" ht="23.25" customHeight="1" x14ac:dyDescent="0.3"/>
    <row r="24" ht="23.25" customHeight="1" x14ac:dyDescent="0.3"/>
    <row r="25" ht="23.25" customHeight="1" x14ac:dyDescent="0.3"/>
    <row r="26" ht="23.25" customHeight="1" x14ac:dyDescent="0.3"/>
    <row r="27" ht="23.25" customHeight="1" x14ac:dyDescent="0.3"/>
    <row r="28" ht="23.25" customHeight="1" x14ac:dyDescent="0.3"/>
    <row r="29" ht="23.25" customHeight="1" x14ac:dyDescent="0.3"/>
    <row r="30" ht="23.25" customHeight="1" x14ac:dyDescent="0.3"/>
    <row r="31" ht="23.25" customHeight="1" x14ac:dyDescent="0.3"/>
    <row r="32" ht="23.25" customHeight="1" x14ac:dyDescent="0.3"/>
    <row r="33" ht="23.25" customHeight="1" x14ac:dyDescent="0.3"/>
    <row r="34" ht="23.25" customHeight="1" x14ac:dyDescent="0.3"/>
    <row r="35" ht="23.25" customHeight="1" x14ac:dyDescent="0.3"/>
    <row r="36" ht="23.25" customHeight="1" x14ac:dyDescent="0.3"/>
    <row r="37" ht="23.25" customHeight="1" x14ac:dyDescent="0.3"/>
    <row r="38" ht="23.25" customHeight="1" x14ac:dyDescent="0.3"/>
    <row r="39" ht="23.25" customHeight="1" x14ac:dyDescent="0.3"/>
    <row r="40" ht="23.25" customHeight="1" x14ac:dyDescent="0.3"/>
    <row r="41" ht="23.25" customHeight="1" x14ac:dyDescent="0.3"/>
    <row r="42" ht="23.25" customHeight="1" x14ac:dyDescent="0.3"/>
    <row r="43" ht="23.25" customHeight="1" x14ac:dyDescent="0.3"/>
    <row r="44" ht="23.25" customHeight="1" x14ac:dyDescent="0.3"/>
    <row r="45" ht="23.25" customHeight="1" x14ac:dyDescent="0.3"/>
    <row r="46" ht="23.25" customHeight="1" x14ac:dyDescent="0.3"/>
    <row r="47" ht="23.25" customHeight="1" x14ac:dyDescent="0.3"/>
    <row r="48" ht="23.25" customHeight="1" x14ac:dyDescent="0.3"/>
    <row r="49" ht="23.25" customHeight="1" x14ac:dyDescent="0.3"/>
    <row r="50" ht="23.25" customHeight="1" x14ac:dyDescent="0.3"/>
    <row r="51" ht="23.25" customHeight="1" x14ac:dyDescent="0.3"/>
    <row r="52" ht="23.25" customHeight="1" x14ac:dyDescent="0.3"/>
    <row r="53" ht="23.25" customHeight="1" x14ac:dyDescent="0.3"/>
    <row r="54" ht="23.25" customHeight="1" x14ac:dyDescent="0.3"/>
    <row r="55" ht="23.25" customHeight="1" x14ac:dyDescent="0.3"/>
    <row r="56" ht="23.25" customHeight="1" x14ac:dyDescent="0.3"/>
    <row r="57" ht="23.25" customHeight="1" x14ac:dyDescent="0.3"/>
    <row r="58" ht="23.25" customHeight="1" x14ac:dyDescent="0.3"/>
    <row r="59" ht="23.25" customHeight="1" x14ac:dyDescent="0.3"/>
    <row r="60" ht="23.25" customHeight="1" x14ac:dyDescent="0.3"/>
    <row r="61" ht="23.25" customHeight="1" x14ac:dyDescent="0.3"/>
    <row r="62" ht="23.25" customHeight="1" x14ac:dyDescent="0.3"/>
    <row r="63" ht="23.25" customHeight="1" x14ac:dyDescent="0.3"/>
    <row r="64" ht="23.25" customHeight="1" x14ac:dyDescent="0.3"/>
    <row r="65" ht="23.25" customHeight="1" x14ac:dyDescent="0.3"/>
    <row r="66" ht="23.25" customHeight="1" x14ac:dyDescent="0.3"/>
    <row r="67" ht="23.25" customHeight="1" x14ac:dyDescent="0.3"/>
    <row r="68" ht="23.25" customHeight="1" x14ac:dyDescent="0.3"/>
    <row r="69" ht="23.25" customHeight="1" x14ac:dyDescent="0.3"/>
    <row r="70" ht="23.25" customHeight="1" x14ac:dyDescent="0.3"/>
  </sheetData>
  <mergeCells count="6">
    <mergeCell ref="A1:G1"/>
    <mergeCell ref="A2:A3"/>
    <mergeCell ref="B2:B3"/>
    <mergeCell ref="C2:C3"/>
    <mergeCell ref="D2:E2"/>
    <mergeCell ref="F2:G2"/>
  </mergeCells>
  <pageMargins left="0.70866141732283472" right="0.70866141732283472" top="1.3574999999999999" bottom="0.74803149606299213" header="0.69" footer="0.31496062992125984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2"/>
  <sheetViews>
    <sheetView view="pageBreakPreview" zoomScale="80" zoomScaleNormal="100" zoomScaleSheetLayoutView="80" zoomScalePageLayoutView="7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16" sqref="C16"/>
    </sheetView>
  </sheetViews>
  <sheetFormatPr defaultRowHeight="14.4" outlineLevelRow="1" x14ac:dyDescent="0.3"/>
  <cols>
    <col min="1" max="1" width="43" customWidth="1"/>
    <col min="2" max="8" width="12.77734375" customWidth="1"/>
    <col min="9" max="10" width="13.77734375" customWidth="1"/>
    <col min="11" max="12" width="15.5546875" customWidth="1"/>
  </cols>
  <sheetData>
    <row r="1" spans="1:13" s="5" customFormat="1" ht="60.75" customHeight="1" thickBot="1" x14ac:dyDescent="0.35">
      <c r="A1" s="171" t="s">
        <v>58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</row>
    <row r="2" spans="1:13" ht="15" customHeight="1" x14ac:dyDescent="0.3">
      <c r="A2" s="168"/>
      <c r="B2" s="159" t="s">
        <v>5</v>
      </c>
      <c r="C2" s="152" t="s">
        <v>56</v>
      </c>
      <c r="D2" s="174" t="s">
        <v>42</v>
      </c>
      <c r="E2" s="175"/>
      <c r="F2" s="175"/>
      <c r="G2" s="175"/>
      <c r="H2" s="175"/>
      <c r="I2" s="175"/>
      <c r="J2" s="176"/>
      <c r="K2" s="159" t="s">
        <v>47</v>
      </c>
      <c r="L2" s="152" t="s">
        <v>48</v>
      </c>
    </row>
    <row r="3" spans="1:13" ht="45.75" customHeight="1" x14ac:dyDescent="0.3">
      <c r="A3" s="178"/>
      <c r="B3" s="172"/>
      <c r="C3" s="173"/>
      <c r="D3" s="172" t="s">
        <v>43</v>
      </c>
      <c r="E3" s="177"/>
      <c r="F3" s="177"/>
      <c r="G3" s="177"/>
      <c r="H3" s="177"/>
      <c r="I3" s="177" t="s">
        <v>40</v>
      </c>
      <c r="J3" s="173"/>
      <c r="K3" s="172"/>
      <c r="L3" s="173"/>
    </row>
    <row r="4" spans="1:13" ht="72.599999999999994" thickBot="1" x14ac:dyDescent="0.35">
      <c r="A4" s="169"/>
      <c r="B4" s="160"/>
      <c r="C4" s="153"/>
      <c r="D4" s="15" t="s">
        <v>41</v>
      </c>
      <c r="E4" s="16" t="s">
        <v>3</v>
      </c>
      <c r="F4" s="16" t="s">
        <v>44</v>
      </c>
      <c r="G4" s="16" t="s">
        <v>36</v>
      </c>
      <c r="H4" s="16" t="s">
        <v>45</v>
      </c>
      <c r="I4" s="16" t="s">
        <v>73</v>
      </c>
      <c r="J4" s="44" t="s">
        <v>74</v>
      </c>
      <c r="K4" s="160"/>
      <c r="L4" s="153"/>
      <c r="M4" s="2"/>
    </row>
    <row r="5" spans="1:13" ht="23.25" customHeight="1" x14ac:dyDescent="0.3">
      <c r="A5" s="17" t="s">
        <v>136</v>
      </c>
      <c r="B5" s="95">
        <f>SUM(B6:B6)</f>
        <v>200</v>
      </c>
      <c r="C5" s="96"/>
      <c r="D5" s="97">
        <f>SUM(D6:D6)</f>
        <v>2000</v>
      </c>
      <c r="E5" s="98"/>
      <c r="F5" s="98"/>
      <c r="G5" s="98"/>
      <c r="H5" s="98"/>
      <c r="I5" s="9">
        <f>SUM(I6:I6)</f>
        <v>500</v>
      </c>
      <c r="J5" s="99">
        <f>SUM(J6:J6)</f>
        <v>50</v>
      </c>
      <c r="K5" s="95">
        <f>ROUND((D5*D$11+I5*I$11+J5*J$11),2)</f>
        <v>2257.6</v>
      </c>
      <c r="L5" s="100">
        <f>SUM(D5:J5)-K5</f>
        <v>292.40000000000009</v>
      </c>
    </row>
    <row r="6" spans="1:13" s="22" customFormat="1" ht="23.25" customHeight="1" outlineLevel="1" x14ac:dyDescent="0.3">
      <c r="A6" s="90" t="s">
        <v>84</v>
      </c>
      <c r="B6" s="101">
        <v>200</v>
      </c>
      <c r="C6" s="102">
        <v>3650</v>
      </c>
      <c r="D6" s="101">
        <v>2000</v>
      </c>
      <c r="E6" s="103"/>
      <c r="F6" s="103"/>
      <c r="G6" s="103"/>
      <c r="H6" s="103"/>
      <c r="I6" s="104">
        <v>500</v>
      </c>
      <c r="J6" s="102">
        <v>50</v>
      </c>
      <c r="K6" s="101">
        <f>ROUND((D6*D$11+I6*I$11+J6*J$11),2)</f>
        <v>2257.6</v>
      </c>
      <c r="L6" s="102">
        <f>SUM(D6:J6)-K6</f>
        <v>292.40000000000009</v>
      </c>
    </row>
    <row r="7" spans="1:13" ht="23.25" customHeight="1" x14ac:dyDescent="0.3">
      <c r="A7" s="13" t="s">
        <v>13</v>
      </c>
      <c r="B7" s="97">
        <v>300</v>
      </c>
      <c r="C7" s="99">
        <v>3650</v>
      </c>
      <c r="D7" s="97">
        <v>2500</v>
      </c>
      <c r="E7" s="9">
        <v>5000</v>
      </c>
      <c r="F7" s="9">
        <v>0</v>
      </c>
      <c r="G7" s="9">
        <v>0</v>
      </c>
      <c r="H7" s="9">
        <v>0</v>
      </c>
      <c r="I7" s="98"/>
      <c r="J7" s="105"/>
      <c r="K7" s="97">
        <f>ROUND((D7*D$11+E7*E$11+F7*F$11+G7*G$11+H7*H$11),2)</f>
        <v>5947</v>
      </c>
      <c r="L7" s="99">
        <f t="shared" ref="L7:L10" si="0">SUM(D7:J7)-K7</f>
        <v>1553</v>
      </c>
    </row>
    <row r="8" spans="1:13" ht="23.25" customHeight="1" x14ac:dyDescent="0.3">
      <c r="A8" s="13" t="s">
        <v>2</v>
      </c>
      <c r="B8" s="97">
        <v>80</v>
      </c>
      <c r="C8" s="99">
        <v>2920</v>
      </c>
      <c r="D8" s="97">
        <v>10000</v>
      </c>
      <c r="E8" s="98"/>
      <c r="F8" s="98"/>
      <c r="G8" s="98"/>
      <c r="H8" s="98"/>
      <c r="I8" s="9">
        <v>500</v>
      </c>
      <c r="J8" s="99">
        <v>0</v>
      </c>
      <c r="K8" s="97">
        <f>ROUND((D8*D$11+I8*I$11+J8*J$11),2)</f>
        <v>9288</v>
      </c>
      <c r="L8" s="99">
        <f t="shared" si="0"/>
        <v>1212</v>
      </c>
    </row>
    <row r="9" spans="1:13" ht="23.25" hidden="1" customHeight="1" x14ac:dyDescent="0.3">
      <c r="A9" s="13" t="s">
        <v>14</v>
      </c>
      <c r="B9" s="97"/>
      <c r="C9" s="99"/>
      <c r="D9" s="97"/>
      <c r="E9" s="98"/>
      <c r="F9" s="98"/>
      <c r="G9" s="98"/>
      <c r="H9" s="98"/>
      <c r="I9" s="98"/>
      <c r="J9" s="105"/>
      <c r="K9" s="97">
        <f>ROUND(D9*D$11,2)</f>
        <v>0</v>
      </c>
      <c r="L9" s="99">
        <f t="shared" si="0"/>
        <v>0</v>
      </c>
    </row>
    <row r="10" spans="1:13" ht="23.25" customHeight="1" thickBot="1" x14ac:dyDescent="0.35">
      <c r="A10" s="106" t="s">
        <v>12</v>
      </c>
      <c r="B10" s="107">
        <v>400</v>
      </c>
      <c r="C10" s="108">
        <v>3650</v>
      </c>
      <c r="D10" s="107">
        <v>500</v>
      </c>
      <c r="E10" s="109"/>
      <c r="F10" s="109"/>
      <c r="G10" s="109"/>
      <c r="H10" s="109"/>
      <c r="I10" s="109"/>
      <c r="J10" s="108">
        <v>10</v>
      </c>
      <c r="K10" s="107">
        <f>ROUND((D10*D$11+J10*J$11),2)</f>
        <v>439.4</v>
      </c>
      <c r="L10" s="108">
        <f t="shared" si="0"/>
        <v>70.600000000000023</v>
      </c>
    </row>
    <row r="11" spans="1:13" s="23" customFormat="1" ht="23.25" customHeight="1" thickBot="1" x14ac:dyDescent="0.35">
      <c r="A11" s="45" t="s">
        <v>46</v>
      </c>
      <c r="B11" s="113"/>
      <c r="C11" s="114"/>
      <c r="D11" s="110">
        <f>ROUND(IF(SUM(Kopsavilkums!G4:G8,Kopsavilkums!G11)=0,0,SUM(Kopsavilkums!G4:G8,Kopsavilkums!G11)/(SUM(Kopsavilkums!G4:G8,Kopsavilkums!G11)+SUM(Kopsavilkums!J4:J8,Kopsavilkums!J11))),4)</f>
        <v>0.87880000000000003</v>
      </c>
      <c r="E11" s="111">
        <f>Kopsavilkums!L13</f>
        <v>0.75</v>
      </c>
      <c r="F11" s="111">
        <f>Kopsavilkums!L12</f>
        <v>0.13039999999999999</v>
      </c>
      <c r="G11" s="111">
        <f>Kopsavilkums!L17</f>
        <v>0.88460000000000005</v>
      </c>
      <c r="H11" s="111">
        <f>IF((Kopsavilkums!G14+Kopsavilkums!J14)=0,0,Kopsavilkums!G14/(Kopsavilkums!G14+Kopsavilkums!J14))</f>
        <v>0.88533333333333331</v>
      </c>
      <c r="I11" s="111">
        <v>1</v>
      </c>
      <c r="J11" s="112">
        <v>0</v>
      </c>
      <c r="K11" s="113"/>
      <c r="L11" s="114"/>
    </row>
    <row r="12" spans="1:13" ht="23.25" customHeight="1" x14ac:dyDescent="0.3"/>
    <row r="13" spans="1:13" ht="23.25" customHeight="1" x14ac:dyDescent="0.3"/>
    <row r="14" spans="1:13" ht="23.25" customHeight="1" x14ac:dyDescent="0.3"/>
    <row r="15" spans="1:13" ht="23.25" customHeight="1" x14ac:dyDescent="0.3"/>
    <row r="16" spans="1:13" ht="23.25" customHeight="1" x14ac:dyDescent="0.3"/>
    <row r="17" ht="23.25" customHeight="1" x14ac:dyDescent="0.3"/>
    <row r="18" ht="23.25" customHeight="1" x14ac:dyDescent="0.3"/>
    <row r="19" ht="23.25" customHeight="1" x14ac:dyDescent="0.3"/>
    <row r="20" ht="23.25" customHeight="1" x14ac:dyDescent="0.3"/>
    <row r="21" ht="23.25" customHeight="1" x14ac:dyDescent="0.3"/>
    <row r="22" ht="23.25" customHeight="1" x14ac:dyDescent="0.3"/>
    <row r="23" ht="23.25" customHeight="1" x14ac:dyDescent="0.3"/>
    <row r="24" ht="23.25" customHeight="1" x14ac:dyDescent="0.3"/>
    <row r="25" ht="23.25" customHeight="1" x14ac:dyDescent="0.3"/>
    <row r="26" ht="23.25" customHeight="1" x14ac:dyDescent="0.3"/>
    <row r="27" ht="23.25" customHeight="1" x14ac:dyDescent="0.3"/>
    <row r="28" ht="23.25" customHeight="1" x14ac:dyDescent="0.3"/>
    <row r="29" ht="23.25" customHeight="1" x14ac:dyDescent="0.3"/>
    <row r="30" ht="23.25" customHeight="1" x14ac:dyDescent="0.3"/>
    <row r="31" ht="23.25" customHeight="1" x14ac:dyDescent="0.3"/>
    <row r="32" ht="23.25" customHeight="1" x14ac:dyDescent="0.3"/>
  </sheetData>
  <mergeCells count="9">
    <mergeCell ref="A1:L1"/>
    <mergeCell ref="K2:K4"/>
    <mergeCell ref="L2:L4"/>
    <mergeCell ref="B2:B4"/>
    <mergeCell ref="C2:C4"/>
    <mergeCell ref="D2:J2"/>
    <mergeCell ref="D3:H3"/>
    <mergeCell ref="I3:J3"/>
    <mergeCell ref="A2:A4"/>
  </mergeCells>
  <pageMargins left="0.70866141732283472" right="0.70866141732283472" top="1.3270833333333334" bottom="0.74803149606299213" header="0.63" footer="0.31496062992125984"/>
  <pageSetup paperSize="9" scale="68" fitToHeight="0" orientation="landscape" r:id="rId1"/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0"/>
  <sheetViews>
    <sheetView view="pageBreakPreview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17" sqref="C17"/>
    </sheetView>
  </sheetViews>
  <sheetFormatPr defaultColWidth="9.21875" defaultRowHeight="14.4" x14ac:dyDescent="0.3"/>
  <cols>
    <col min="1" max="1" width="41.21875" style="29" customWidth="1"/>
    <col min="2" max="5" width="17.77734375" style="29" customWidth="1"/>
    <col min="6" max="6" width="14.21875" style="29" customWidth="1"/>
    <col min="7" max="8" width="13" style="29" customWidth="1"/>
    <col min="9" max="16384" width="9.21875" style="29"/>
  </cols>
  <sheetData>
    <row r="1" spans="1:8" ht="33.75" customHeight="1" x14ac:dyDescent="0.3">
      <c r="A1" s="179" t="s">
        <v>60</v>
      </c>
      <c r="B1" s="179"/>
      <c r="C1" s="179"/>
      <c r="D1" s="179"/>
      <c r="E1" s="179"/>
      <c r="F1" s="179"/>
    </row>
    <row r="2" spans="1:8" customFormat="1" ht="33.75" customHeight="1" x14ac:dyDescent="0.3">
      <c r="A2" s="181" t="s">
        <v>83</v>
      </c>
      <c r="B2" s="181"/>
      <c r="C2" s="181"/>
      <c r="D2" s="181"/>
      <c r="E2" s="181"/>
      <c r="F2" s="181"/>
    </row>
    <row r="3" spans="1:8" ht="58.8" x14ac:dyDescent="0.3">
      <c r="A3" s="7" t="s">
        <v>65</v>
      </c>
      <c r="B3" s="7" t="s">
        <v>61</v>
      </c>
      <c r="C3" s="7" t="s">
        <v>62</v>
      </c>
      <c r="D3" s="7" t="s">
        <v>63</v>
      </c>
      <c r="E3" s="7" t="s">
        <v>64</v>
      </c>
      <c r="F3" s="7" t="s">
        <v>59</v>
      </c>
    </row>
    <row r="4" spans="1:8" customFormat="1" x14ac:dyDescent="0.3">
      <c r="A4" s="115" t="str">
        <f>Kopsavilkums!B7</f>
        <v>Dzemdību nodaļa</v>
      </c>
      <c r="B4" s="58">
        <f>Kopsavilkums!C7</f>
        <v>400</v>
      </c>
      <c r="C4" s="9">
        <f>Kopsavilkums!G7</f>
        <v>21600</v>
      </c>
      <c r="D4" s="9">
        <f>Kopsavilkums!J7</f>
        <v>720</v>
      </c>
      <c r="E4" s="116">
        <f>IF(C4=0,0,ROUND(C4/(C4+D4),4))</f>
        <v>0.9677</v>
      </c>
      <c r="F4" s="9">
        <f>Kopsavilkums!D7</f>
        <v>8760</v>
      </c>
      <c r="G4" s="117">
        <f>ROUND((B4*F4*E4),2)</f>
        <v>3390820.8</v>
      </c>
      <c r="H4" s="34">
        <f>ROUND((B4*F4),2)</f>
        <v>3504000</v>
      </c>
    </row>
    <row r="5" spans="1:8" customFormat="1" x14ac:dyDescent="0.3">
      <c r="A5" s="115" t="str">
        <f>Kopsavilkums!B9</f>
        <v>Ķirurģijas nodaļa</v>
      </c>
      <c r="B5" s="58">
        <f>Kopsavilkums!C9</f>
        <v>1000</v>
      </c>
      <c r="C5" s="9">
        <f>Kopsavilkums!G9</f>
        <v>420000</v>
      </c>
      <c r="D5" s="9">
        <f>Kopsavilkums!J9</f>
        <v>60000</v>
      </c>
      <c r="E5" s="116">
        <f>IF(C5=0,0,ROUND(C5/(C5+D5),4))</f>
        <v>0.875</v>
      </c>
      <c r="F5" s="9">
        <f>Kopsavilkums!D9</f>
        <v>8760</v>
      </c>
      <c r="G5" s="117">
        <f t="shared" ref="G5:G6" si="0">ROUND((B5*F5*E5),2)</f>
        <v>7665000</v>
      </c>
      <c r="H5" s="34">
        <f t="shared" ref="H5:H6" si="1">ROUND((B5*F5),2)</f>
        <v>8760000</v>
      </c>
    </row>
    <row r="6" spans="1:8" customFormat="1" x14ac:dyDescent="0.3">
      <c r="A6" s="115" t="str">
        <f>Kopsavilkums!B10</f>
        <v>Terapijas nodaļa</v>
      </c>
      <c r="B6" s="58">
        <f>Kopsavilkums!C10</f>
        <v>2000</v>
      </c>
      <c r="C6" s="9">
        <f>Kopsavilkums!G10</f>
        <v>840000</v>
      </c>
      <c r="D6" s="9">
        <f>Kopsavilkums!J10</f>
        <v>120000</v>
      </c>
      <c r="E6" s="116">
        <f>IF(C6=0,0,ROUND(C6/(C6+D6),4))</f>
        <v>0.875</v>
      </c>
      <c r="F6" s="9">
        <f>Kopsavilkums!D10</f>
        <v>8760</v>
      </c>
      <c r="G6" s="117">
        <f t="shared" si="0"/>
        <v>15330000</v>
      </c>
      <c r="H6" s="34">
        <f t="shared" si="1"/>
        <v>17520000</v>
      </c>
    </row>
    <row r="7" spans="1:8" customFormat="1" x14ac:dyDescent="0.3">
      <c r="A7" s="115" t="str">
        <f>Kopsavilkums!B17</f>
        <v>Laboratorija</v>
      </c>
      <c r="B7" s="58">
        <f>Kopsavilkums!C17</f>
        <v>80</v>
      </c>
      <c r="C7" s="9">
        <f>Kopsavilkums!G17</f>
        <v>2582.9485714285715</v>
      </c>
      <c r="D7" s="9">
        <f>Kopsavilkums!J17</f>
        <v>337.05142857142846</v>
      </c>
      <c r="E7" s="116">
        <f>IF(C7=0,0,ROUND(C7/(C7+D7),4))</f>
        <v>0.88460000000000005</v>
      </c>
      <c r="F7" s="9">
        <f>Kopsavilkums!D17</f>
        <v>2920</v>
      </c>
      <c r="G7" s="117">
        <f>ROUND((B7*F7*E7),2)</f>
        <v>206642.56</v>
      </c>
      <c r="H7" s="34">
        <f>ROUND((B7*F7),2)</f>
        <v>233600</v>
      </c>
    </row>
    <row r="8" spans="1:8" ht="20.25" customHeight="1" x14ac:dyDescent="0.3">
      <c r="A8" s="180" t="s">
        <v>67</v>
      </c>
      <c r="B8" s="180"/>
      <c r="C8" s="180"/>
      <c r="D8" s="180"/>
      <c r="E8" s="180"/>
      <c r="F8" s="39">
        <f>MAX(F4:F7)</f>
        <v>8760</v>
      </c>
      <c r="G8" s="42">
        <f>SUM(G4:G7)</f>
        <v>26592463.359999999</v>
      </c>
      <c r="H8" s="43">
        <f>SUM(H4:H7)</f>
        <v>30017600</v>
      </c>
    </row>
    <row r="9" spans="1:8" ht="20.25" customHeight="1" x14ac:dyDescent="0.3">
      <c r="A9" s="180" t="s">
        <v>69</v>
      </c>
      <c r="B9" s="180"/>
      <c r="C9" s="180"/>
      <c r="D9" s="180"/>
      <c r="E9" s="180"/>
      <c r="F9" s="39">
        <f>IF(G8*F8=0,0,ROUND(G8/H8*F8,2))</f>
        <v>7760.45</v>
      </c>
    </row>
    <row r="10" spans="1:8" ht="20.25" customHeight="1" x14ac:dyDescent="0.3">
      <c r="A10" s="180" t="s">
        <v>68</v>
      </c>
      <c r="B10" s="180"/>
      <c r="C10" s="180"/>
      <c r="D10" s="180"/>
      <c r="E10" s="180"/>
      <c r="F10" s="39">
        <f>F8-F9</f>
        <v>999.55000000000018</v>
      </c>
    </row>
  </sheetData>
  <mergeCells count="5">
    <mergeCell ref="A1:F1"/>
    <mergeCell ref="A8:E8"/>
    <mergeCell ref="A9:E9"/>
    <mergeCell ref="A10:E10"/>
    <mergeCell ref="A2:F2"/>
  </mergeCells>
  <pageMargins left="0.70866141732283472" right="0.70866141732283472" top="1.4806250000000001" bottom="0.74803149606299213" header="0.6" footer="0.31496062992125984"/>
  <pageSetup paperSize="9" scale="68" fitToHeight="0" orientation="portrait" r:id="rId1"/>
  <colBreaks count="1" manualBreakCount="1">
    <brk id="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2"/>
  <sheetViews>
    <sheetView view="pageBreakPreview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9.21875" defaultRowHeight="14.4" x14ac:dyDescent="0.3"/>
  <cols>
    <col min="1" max="1" width="41.21875" style="29" customWidth="1"/>
    <col min="2" max="5" width="17.77734375" style="29" customWidth="1"/>
    <col min="6" max="6" width="14.21875" style="29" customWidth="1"/>
    <col min="7" max="8" width="15.21875" style="29" customWidth="1"/>
    <col min="9" max="16384" width="9.21875" style="29"/>
  </cols>
  <sheetData>
    <row r="1" spans="1:8" ht="33.75" customHeight="1" x14ac:dyDescent="0.3">
      <c r="A1" s="179" t="s">
        <v>60</v>
      </c>
      <c r="B1" s="179"/>
      <c r="C1" s="179"/>
      <c r="D1" s="179"/>
      <c r="E1" s="179"/>
      <c r="F1" s="179"/>
    </row>
    <row r="2" spans="1:8" ht="33.75" customHeight="1" x14ac:dyDescent="0.3">
      <c r="A2" s="181" t="s">
        <v>85</v>
      </c>
      <c r="B2" s="181"/>
      <c r="C2" s="181"/>
      <c r="D2" s="181"/>
      <c r="E2" s="181"/>
      <c r="F2" s="181"/>
    </row>
    <row r="3" spans="1:8" ht="58.8" x14ac:dyDescent="0.3">
      <c r="A3" s="7" t="s">
        <v>65</v>
      </c>
      <c r="B3" s="7" t="s">
        <v>61</v>
      </c>
      <c r="C3" s="7" t="s">
        <v>62</v>
      </c>
      <c r="D3" s="7" t="s">
        <v>63</v>
      </c>
      <c r="E3" s="7" t="s">
        <v>64</v>
      </c>
      <c r="F3" s="7" t="s">
        <v>59</v>
      </c>
    </row>
    <row r="4" spans="1:8" customFormat="1" x14ac:dyDescent="0.3">
      <c r="A4" s="115" t="str">
        <f>Kopsavilkums!B4</f>
        <v>Uzņemšanas nodaļa</v>
      </c>
      <c r="B4" s="58">
        <f>Kopsavilkums!C4</f>
        <v>400</v>
      </c>
      <c r="C4" s="9">
        <f>Kopsavilkums!G4</f>
        <v>40000</v>
      </c>
      <c r="D4" s="9">
        <f>Kopsavilkums!J4</f>
        <v>400</v>
      </c>
      <c r="E4" s="116">
        <f>IF(C4=0,0,ROUND(C4/(C4+D4),4))</f>
        <v>0.99009999999999998</v>
      </c>
      <c r="F4" s="9">
        <f>Kopsavilkums!D4</f>
        <v>8760</v>
      </c>
      <c r="G4" s="117">
        <f>ROUND((B4*F4*E4),2)</f>
        <v>3469310.4</v>
      </c>
      <c r="H4" s="34">
        <f>ROUND((B4*F4),2)</f>
        <v>3504000</v>
      </c>
    </row>
    <row r="5" spans="1:8" customFormat="1" x14ac:dyDescent="0.3">
      <c r="A5" s="115" t="str">
        <f>Kopsavilkums!B6</f>
        <v>Reanimācijas nodaļa</v>
      </c>
      <c r="B5" s="58">
        <f>Kopsavilkums!C6</f>
        <v>200</v>
      </c>
      <c r="C5" s="9">
        <f>Kopsavilkums!G6</f>
        <v>36000</v>
      </c>
      <c r="D5" s="9">
        <f>Kopsavilkums!J6</f>
        <v>480</v>
      </c>
      <c r="E5" s="116">
        <f>IF(C5=0,0,ROUND(C5/(C5+D5),4))</f>
        <v>0.98680000000000001</v>
      </c>
      <c r="F5" s="9">
        <f>Kopsavilkums!D6</f>
        <v>8760</v>
      </c>
      <c r="G5" s="117">
        <f t="shared" ref="G5:G8" si="0">ROUND((B5*F5*E5),2)</f>
        <v>1728873.6</v>
      </c>
      <c r="H5" s="34">
        <f t="shared" ref="H5:H8" si="1">ROUND((B5*F5),2)</f>
        <v>1752000</v>
      </c>
    </row>
    <row r="6" spans="1:8" customFormat="1" x14ac:dyDescent="0.3">
      <c r="A6" s="115" t="str">
        <f>Kopsavilkums!B7</f>
        <v>Dzemdību nodaļa</v>
      </c>
      <c r="B6" s="58">
        <f>Kopsavilkums!C7</f>
        <v>400</v>
      </c>
      <c r="C6" s="9">
        <f>Kopsavilkums!G7</f>
        <v>21600</v>
      </c>
      <c r="D6" s="9">
        <f>Kopsavilkums!J7</f>
        <v>720</v>
      </c>
      <c r="E6" s="116">
        <f t="shared" ref="E6:E9" si="2">IF(C6=0,0,ROUND(C6/(C6+D6),4))</f>
        <v>0.9677</v>
      </c>
      <c r="F6" s="9">
        <f>Kopsavilkums!D7</f>
        <v>8760</v>
      </c>
      <c r="G6" s="117">
        <f t="shared" si="0"/>
        <v>3390820.8</v>
      </c>
      <c r="H6" s="34">
        <f t="shared" si="1"/>
        <v>3504000</v>
      </c>
    </row>
    <row r="7" spans="1:8" customFormat="1" x14ac:dyDescent="0.3">
      <c r="A7" s="115" t="str">
        <f>Kopsavilkums!B9</f>
        <v>Ķirurģijas nodaļa</v>
      </c>
      <c r="B7" s="58">
        <f>Kopsavilkums!C9</f>
        <v>1000</v>
      </c>
      <c r="C7" s="9">
        <f>Kopsavilkums!G9</f>
        <v>420000</v>
      </c>
      <c r="D7" s="9">
        <f>Kopsavilkums!J9</f>
        <v>60000</v>
      </c>
      <c r="E7" s="116">
        <f t="shared" si="2"/>
        <v>0.875</v>
      </c>
      <c r="F7" s="9">
        <f>Kopsavilkums!D9</f>
        <v>8760</v>
      </c>
      <c r="G7" s="117">
        <f t="shared" si="0"/>
        <v>7665000</v>
      </c>
      <c r="H7" s="34">
        <f t="shared" si="1"/>
        <v>8760000</v>
      </c>
    </row>
    <row r="8" spans="1:8" customFormat="1" x14ac:dyDescent="0.3">
      <c r="A8" s="115" t="str">
        <f>Kopsavilkums!B10</f>
        <v>Terapijas nodaļa</v>
      </c>
      <c r="B8" s="58">
        <f>Kopsavilkums!C10</f>
        <v>2000</v>
      </c>
      <c r="C8" s="9">
        <f>Kopsavilkums!G10</f>
        <v>840000</v>
      </c>
      <c r="D8" s="9">
        <f>Kopsavilkums!J10</f>
        <v>120000</v>
      </c>
      <c r="E8" s="116">
        <f t="shared" si="2"/>
        <v>0.875</v>
      </c>
      <c r="F8" s="9">
        <f>Kopsavilkums!D10</f>
        <v>8760</v>
      </c>
      <c r="G8" s="117">
        <f t="shared" si="0"/>
        <v>15330000</v>
      </c>
      <c r="H8" s="34">
        <f t="shared" si="1"/>
        <v>17520000</v>
      </c>
    </row>
    <row r="9" spans="1:8" customFormat="1" x14ac:dyDescent="0.3">
      <c r="A9" s="115" t="str">
        <f>Kopsavilkums!B17</f>
        <v>Laboratorija</v>
      </c>
      <c r="B9" s="58">
        <f>Kopsavilkums!C17</f>
        <v>80</v>
      </c>
      <c r="C9" s="9">
        <f>Kopsavilkums!G17</f>
        <v>2582.9485714285715</v>
      </c>
      <c r="D9" s="9">
        <f>Kopsavilkums!J17</f>
        <v>337.05142857142846</v>
      </c>
      <c r="E9" s="116">
        <f t="shared" si="2"/>
        <v>0.88460000000000005</v>
      </c>
      <c r="F9" s="9">
        <f>Kopsavilkums!D17</f>
        <v>2920</v>
      </c>
      <c r="G9" s="117">
        <f>ROUND((B9*F9*E9),2)</f>
        <v>206642.56</v>
      </c>
      <c r="H9" s="34">
        <f>ROUND((B9*F9),2)</f>
        <v>233600</v>
      </c>
    </row>
    <row r="10" spans="1:8" ht="20.25" customHeight="1" x14ac:dyDescent="0.3">
      <c r="A10" s="180" t="s">
        <v>67</v>
      </c>
      <c r="B10" s="180"/>
      <c r="C10" s="180"/>
      <c r="D10" s="180"/>
      <c r="E10" s="180"/>
      <c r="F10" s="39">
        <f>MAX(F4:F9)</f>
        <v>8760</v>
      </c>
      <c r="G10" s="42">
        <f>SUM(G4:G9)</f>
        <v>31790647.359999999</v>
      </c>
      <c r="H10" s="43">
        <f>SUM(H4:H9)</f>
        <v>35273600</v>
      </c>
    </row>
    <row r="11" spans="1:8" ht="20.25" customHeight="1" x14ac:dyDescent="0.3">
      <c r="A11" s="180" t="s">
        <v>69</v>
      </c>
      <c r="B11" s="180"/>
      <c r="C11" s="180"/>
      <c r="D11" s="180"/>
      <c r="E11" s="180"/>
      <c r="F11" s="39">
        <f>IF(G10*F10=0,0,ROUND(G10/H10*F10,2))</f>
        <v>7895.03</v>
      </c>
    </row>
    <row r="12" spans="1:8" ht="20.25" customHeight="1" x14ac:dyDescent="0.3">
      <c r="A12" s="180" t="s">
        <v>68</v>
      </c>
      <c r="B12" s="180"/>
      <c r="C12" s="180"/>
      <c r="D12" s="180"/>
      <c r="E12" s="180"/>
      <c r="F12" s="39">
        <f>F10-F11</f>
        <v>864.97000000000025</v>
      </c>
    </row>
  </sheetData>
  <mergeCells count="5">
    <mergeCell ref="A1:F1"/>
    <mergeCell ref="A2:F2"/>
    <mergeCell ref="A10:E10"/>
    <mergeCell ref="A11:E11"/>
    <mergeCell ref="A12:E12"/>
  </mergeCells>
  <pageMargins left="0.70866141732283472" right="0.70866141732283472" top="1.4806250000000001" bottom="0.74803149606299213" header="0.6" footer="0.31496062992125984"/>
  <pageSetup paperSize="9" scale="68" fitToHeight="0" orientation="portrait" r:id="rId1"/>
  <colBreaks count="1" manualBreakCount="1">
    <brk id="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7"/>
  <sheetViews>
    <sheetView view="pageBreakPreview" zoomScaleNormal="100" zoomScaleSheetLayoutView="100" workbookViewId="0">
      <pane ySplit="3" topLeftCell="A4" activePane="bottomLeft" state="frozen"/>
      <selection pane="bottomLeft" activeCell="C18" sqref="C18"/>
    </sheetView>
  </sheetViews>
  <sheetFormatPr defaultColWidth="9.21875" defaultRowHeight="14.4" x14ac:dyDescent="0.3"/>
  <cols>
    <col min="1" max="1" width="35.5546875" style="1" customWidth="1"/>
    <col min="2" max="5" width="15" style="1" customWidth="1"/>
    <col min="6" max="16384" width="9.21875" style="1"/>
  </cols>
  <sheetData>
    <row r="1" spans="1:5" ht="42" customHeight="1" x14ac:dyDescent="0.3">
      <c r="A1" s="182" t="s">
        <v>123</v>
      </c>
      <c r="B1" s="182"/>
      <c r="C1" s="182"/>
      <c r="D1" s="182"/>
      <c r="E1" s="182"/>
    </row>
    <row r="2" spans="1:5" ht="57.6" x14ac:dyDescent="0.3">
      <c r="A2" s="50" t="s">
        <v>110</v>
      </c>
      <c r="B2" s="50" t="s">
        <v>98</v>
      </c>
      <c r="C2" s="50" t="s">
        <v>112</v>
      </c>
      <c r="D2" s="50" t="s">
        <v>114</v>
      </c>
      <c r="E2" s="50" t="s">
        <v>115</v>
      </c>
    </row>
    <row r="3" spans="1:5" x14ac:dyDescent="0.3">
      <c r="A3" s="50"/>
      <c r="B3" s="50" t="s">
        <v>111</v>
      </c>
      <c r="C3" s="50" t="s">
        <v>113</v>
      </c>
      <c r="D3" s="50" t="s">
        <v>111</v>
      </c>
      <c r="E3" s="50" t="s">
        <v>111</v>
      </c>
    </row>
    <row r="4" spans="1:5" x14ac:dyDescent="0.3">
      <c r="A4" s="47" t="s">
        <v>116</v>
      </c>
      <c r="B4" s="48">
        <v>40000</v>
      </c>
      <c r="C4" s="46" t="s">
        <v>7</v>
      </c>
      <c r="D4" s="3">
        <f>B4*$C$5</f>
        <v>37008</v>
      </c>
      <c r="E4" s="3">
        <f>B4-D4</f>
        <v>2992</v>
      </c>
    </row>
    <row r="5" spans="1:5" x14ac:dyDescent="0.3">
      <c r="A5" s="47" t="s">
        <v>125</v>
      </c>
      <c r="B5" s="48">
        <f>Kopsavilkums!M25</f>
        <v>1000000</v>
      </c>
      <c r="C5" s="49">
        <f>ROUND(D5/B5,4)</f>
        <v>0.92520000000000002</v>
      </c>
      <c r="D5" s="3">
        <f>Kopsavilkums!N25</f>
        <v>925197.59000000008</v>
      </c>
      <c r="E5" s="3">
        <f>Kopsavilkums!O25</f>
        <v>74802.409999999989</v>
      </c>
    </row>
    <row r="6" spans="1:5" x14ac:dyDescent="0.3">
      <c r="A6" s="47" t="s">
        <v>117</v>
      </c>
      <c r="B6" s="48">
        <v>10000</v>
      </c>
      <c r="C6" s="46" t="s">
        <v>7</v>
      </c>
      <c r="D6" s="3">
        <f>B6*$C$5</f>
        <v>9252</v>
      </c>
      <c r="E6" s="3">
        <f>B6-D6</f>
        <v>748</v>
      </c>
    </row>
    <row r="7" spans="1:5" x14ac:dyDescent="0.3">
      <c r="A7" s="51" t="s">
        <v>118</v>
      </c>
      <c r="B7" s="52">
        <f>SUM(B4:B6)</f>
        <v>1050000</v>
      </c>
      <c r="C7" s="50" t="s">
        <v>7</v>
      </c>
      <c r="D7" s="53">
        <f>SUM(D4:D6)</f>
        <v>971457.59000000008</v>
      </c>
      <c r="E7" s="53">
        <f>SUM(E4:E6)</f>
        <v>78542.409999999989</v>
      </c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scale="94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10"/>
  <sheetViews>
    <sheetView view="pageBreakPreview" zoomScaleNormal="100" zoomScaleSheetLayoutView="100" workbookViewId="0">
      <selection activeCell="D11" sqref="D11"/>
    </sheetView>
  </sheetViews>
  <sheetFormatPr defaultColWidth="9.21875" defaultRowHeight="28.8" x14ac:dyDescent="0.3"/>
  <cols>
    <col min="1" max="3" width="20" style="5" customWidth="1"/>
    <col min="4" max="4" width="43.77734375" style="5" customWidth="1"/>
    <col min="5" max="5" width="9.21875" style="123"/>
    <col min="6" max="16384" width="9.21875" style="5"/>
  </cols>
  <sheetData>
    <row r="1" spans="1:5" x14ac:dyDescent="0.3">
      <c r="A1" s="183" t="s">
        <v>87</v>
      </c>
      <c r="B1" s="183"/>
      <c r="C1" s="183"/>
      <c r="D1" s="183"/>
      <c r="E1" s="118"/>
    </row>
    <row r="2" spans="1:5" ht="86.4" x14ac:dyDescent="0.3">
      <c r="A2" s="119" t="s">
        <v>88</v>
      </c>
      <c r="B2" s="119" t="s">
        <v>89</v>
      </c>
      <c r="C2" s="119" t="s">
        <v>90</v>
      </c>
      <c r="D2" s="119" t="s">
        <v>91</v>
      </c>
      <c r="E2" s="118" t="s">
        <v>93</v>
      </c>
    </row>
    <row r="3" spans="1:5" ht="14.4" x14ac:dyDescent="0.3">
      <c r="A3" s="120">
        <v>1</v>
      </c>
      <c r="B3" s="120">
        <v>2</v>
      </c>
      <c r="C3" s="120" t="s">
        <v>92</v>
      </c>
      <c r="D3" s="120">
        <v>4</v>
      </c>
      <c r="E3" s="5"/>
    </row>
    <row r="4" spans="1:5" ht="36.6" x14ac:dyDescent="0.3">
      <c r="A4" s="121">
        <f>'Atbalsta darbības'!B7</f>
        <v>1050000</v>
      </c>
      <c r="B4" s="121">
        <f>'Atbalsta darbības'!D7</f>
        <v>971457.59000000008</v>
      </c>
      <c r="C4" s="121">
        <f>'Atbalsta darbības'!E7</f>
        <v>78542.409999999989</v>
      </c>
      <c r="D4" s="124"/>
      <c r="E4" s="122"/>
    </row>
    <row r="8" spans="1:5" x14ac:dyDescent="0.3">
      <c r="A8" s="28" t="s">
        <v>107</v>
      </c>
      <c r="B8" s="28" t="b">
        <f>B9&lt;B10</f>
        <v>1</v>
      </c>
      <c r="C8" s="28" t="b">
        <f>C9&gt;C10</f>
        <v>1</v>
      </c>
    </row>
    <row r="9" spans="1:5" x14ac:dyDescent="0.3">
      <c r="A9" s="5" t="s">
        <v>108</v>
      </c>
      <c r="B9" s="34">
        <f>B4</f>
        <v>971457.59000000008</v>
      </c>
      <c r="C9" s="34">
        <f>C4</f>
        <v>78542.409999999989</v>
      </c>
    </row>
    <row r="10" spans="1:5" x14ac:dyDescent="0.3">
      <c r="A10" s="5" t="s">
        <v>109</v>
      </c>
      <c r="B10" s="34">
        <f>'Projekta finansēšanas plāns'!I8+'Projekta finansēšanas plāns'!I11</f>
        <v>987000</v>
      </c>
      <c r="C10" s="34">
        <f>'Projekta finansēšanas plāns'!I9+'Projekta finansēšanas plāns'!I12</f>
        <v>62999.999999999993</v>
      </c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scale="86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7"/>
  <sheetViews>
    <sheetView tabSelected="1" view="pageBreakPreview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K8" sqref="K8"/>
    </sheetView>
  </sheetViews>
  <sheetFormatPr defaultColWidth="9.21875" defaultRowHeight="13.8" x14ac:dyDescent="0.3"/>
  <cols>
    <col min="1" max="1" width="34.77734375" style="126" customWidth="1"/>
    <col min="2" max="8" width="13.77734375" style="126" customWidth="1"/>
    <col min="9" max="9" width="17.21875" style="126" customWidth="1"/>
    <col min="10" max="10" width="16.77734375" style="126" customWidth="1"/>
    <col min="11" max="11" width="9.21875" style="126"/>
    <col min="12" max="12" width="17.77734375" style="126" customWidth="1"/>
    <col min="13" max="16384" width="9.21875" style="126"/>
  </cols>
  <sheetData>
    <row r="1" spans="1:14" ht="18" x14ac:dyDescent="0.3">
      <c r="A1" s="184" t="s">
        <v>94</v>
      </c>
      <c r="B1" s="185"/>
      <c r="C1" s="185"/>
      <c r="D1" s="185"/>
      <c r="E1" s="185"/>
      <c r="F1" s="185"/>
      <c r="G1" s="185"/>
      <c r="H1" s="185"/>
      <c r="I1" s="185"/>
      <c r="J1" s="186"/>
      <c r="K1" s="125"/>
    </row>
    <row r="2" spans="1:14" ht="18" x14ac:dyDescent="0.3">
      <c r="A2" s="127"/>
      <c r="B2" s="128"/>
      <c r="C2" s="128"/>
      <c r="D2" s="128"/>
      <c r="E2" s="128"/>
      <c r="F2" s="128"/>
      <c r="G2" s="128"/>
      <c r="H2" s="128"/>
      <c r="I2" s="129"/>
      <c r="J2" s="129"/>
    </row>
    <row r="3" spans="1:14" s="132" customFormat="1" ht="27.6" x14ac:dyDescent="0.3">
      <c r="A3" s="187" t="s">
        <v>95</v>
      </c>
      <c r="B3" s="130" t="s">
        <v>126</v>
      </c>
      <c r="C3" s="130" t="s">
        <v>127</v>
      </c>
      <c r="D3" s="130" t="s">
        <v>128</v>
      </c>
      <c r="E3" s="130" t="s">
        <v>129</v>
      </c>
      <c r="F3" s="130" t="s">
        <v>130</v>
      </c>
      <c r="G3" s="130" t="s">
        <v>131</v>
      </c>
      <c r="H3" s="130" t="s">
        <v>132</v>
      </c>
      <c r="I3" s="189" t="s">
        <v>100</v>
      </c>
      <c r="J3" s="189" t="s">
        <v>101</v>
      </c>
      <c r="K3" s="131" t="s">
        <v>16</v>
      </c>
      <c r="L3" s="190"/>
    </row>
    <row r="4" spans="1:14" s="132" customFormat="1" ht="46.8" x14ac:dyDescent="0.3">
      <c r="A4" s="188"/>
      <c r="B4" s="133" t="s">
        <v>99</v>
      </c>
      <c r="C4" s="133" t="s">
        <v>99</v>
      </c>
      <c r="D4" s="133" t="s">
        <v>99</v>
      </c>
      <c r="E4" s="133" t="s">
        <v>99</v>
      </c>
      <c r="F4" s="133" t="s">
        <v>99</v>
      </c>
      <c r="G4" s="133" t="s">
        <v>99</v>
      </c>
      <c r="H4" s="133" t="s">
        <v>99</v>
      </c>
      <c r="I4" s="133" t="s">
        <v>99</v>
      </c>
      <c r="J4" s="133" t="s">
        <v>102</v>
      </c>
      <c r="K4" s="131" t="s">
        <v>16</v>
      </c>
      <c r="L4" s="191"/>
    </row>
    <row r="5" spans="1:14" ht="46.8" x14ac:dyDescent="0.3">
      <c r="A5" s="134" t="s">
        <v>138</v>
      </c>
      <c r="B5" s="135">
        <f t="shared" ref="B5:H7" si="0">$L5*B$16*$L$16</f>
        <v>0</v>
      </c>
      <c r="C5" s="135">
        <f t="shared" si="0"/>
        <v>133875</v>
      </c>
      <c r="D5" s="135">
        <f t="shared" si="0"/>
        <v>312375</v>
      </c>
      <c r="E5" s="135">
        <f t="shared" si="0"/>
        <v>312375</v>
      </c>
      <c r="F5" s="135">
        <f t="shared" si="0"/>
        <v>133875</v>
      </c>
      <c r="G5" s="135">
        <f t="shared" si="0"/>
        <v>0</v>
      </c>
      <c r="H5" s="135">
        <f t="shared" si="0"/>
        <v>0</v>
      </c>
      <c r="I5" s="136">
        <f t="shared" ref="I5:I13" si="1">SUM(B5:H5)</f>
        <v>892500</v>
      </c>
      <c r="J5" s="137">
        <f>IF($I$10&gt;0,I5/$I$10,0)</f>
        <v>0.85</v>
      </c>
      <c r="K5" s="131" t="s">
        <v>16</v>
      </c>
      <c r="L5" s="138">
        <v>0.85</v>
      </c>
    </row>
    <row r="6" spans="1:14" ht="31.2" x14ac:dyDescent="0.3">
      <c r="A6" s="134" t="s">
        <v>96</v>
      </c>
      <c r="B6" s="135">
        <f t="shared" si="0"/>
        <v>0</v>
      </c>
      <c r="C6" s="135">
        <f t="shared" si="0"/>
        <v>14175</v>
      </c>
      <c r="D6" s="135">
        <f t="shared" si="0"/>
        <v>33075</v>
      </c>
      <c r="E6" s="135">
        <f t="shared" si="0"/>
        <v>33075</v>
      </c>
      <c r="F6" s="135">
        <f t="shared" si="0"/>
        <v>14175</v>
      </c>
      <c r="G6" s="135">
        <f t="shared" si="0"/>
        <v>0</v>
      </c>
      <c r="H6" s="135">
        <f t="shared" si="0"/>
        <v>0</v>
      </c>
      <c r="I6" s="136">
        <f t="shared" si="1"/>
        <v>94500</v>
      </c>
      <c r="J6" s="137">
        <f t="shared" ref="J6:J14" si="2">IF($I$10&gt;0,I6/$I$10,0)</f>
        <v>0.09</v>
      </c>
      <c r="K6" s="131" t="s">
        <v>16</v>
      </c>
      <c r="L6" s="138">
        <v>0.09</v>
      </c>
    </row>
    <row r="7" spans="1:14" ht="31.2" x14ac:dyDescent="0.3">
      <c r="A7" s="134" t="s">
        <v>133</v>
      </c>
      <c r="B7" s="135">
        <f t="shared" si="0"/>
        <v>0</v>
      </c>
      <c r="C7" s="135">
        <f t="shared" si="0"/>
        <v>0</v>
      </c>
      <c r="D7" s="135">
        <f t="shared" si="0"/>
        <v>0</v>
      </c>
      <c r="E7" s="135">
        <f t="shared" si="0"/>
        <v>0</v>
      </c>
      <c r="F7" s="135">
        <f t="shared" si="0"/>
        <v>0</v>
      </c>
      <c r="G7" s="135">
        <f t="shared" si="0"/>
        <v>0</v>
      </c>
      <c r="H7" s="135">
        <f t="shared" si="0"/>
        <v>0</v>
      </c>
      <c r="I7" s="136">
        <f t="shared" si="1"/>
        <v>0</v>
      </c>
      <c r="J7" s="137">
        <f t="shared" si="2"/>
        <v>0</v>
      </c>
      <c r="K7" s="131" t="s">
        <v>16</v>
      </c>
      <c r="L7" s="138">
        <v>0</v>
      </c>
    </row>
    <row r="8" spans="1:14" ht="31.2" x14ac:dyDescent="0.3">
      <c r="A8" s="139" t="s">
        <v>103</v>
      </c>
      <c r="B8" s="140">
        <f>SUM(B5:B7)</f>
        <v>0</v>
      </c>
      <c r="C8" s="140">
        <f t="shared" ref="C8:H8" si="3">SUM(C5:C7)</f>
        <v>148050</v>
      </c>
      <c r="D8" s="140">
        <f t="shared" si="3"/>
        <v>345450</v>
      </c>
      <c r="E8" s="140">
        <f t="shared" si="3"/>
        <v>345450</v>
      </c>
      <c r="F8" s="140">
        <f t="shared" si="3"/>
        <v>148050</v>
      </c>
      <c r="G8" s="140">
        <f t="shared" si="3"/>
        <v>0</v>
      </c>
      <c r="H8" s="140">
        <f t="shared" si="3"/>
        <v>0</v>
      </c>
      <c r="I8" s="140">
        <f t="shared" si="1"/>
        <v>987000</v>
      </c>
      <c r="J8" s="141">
        <f t="shared" si="2"/>
        <v>0.94</v>
      </c>
      <c r="K8" s="131" t="s">
        <v>16</v>
      </c>
      <c r="L8" s="138">
        <f>SUM(L5:L7)</f>
        <v>0.94</v>
      </c>
    </row>
    <row r="9" spans="1:14" ht="31.2" x14ac:dyDescent="0.3">
      <c r="A9" s="142" t="s">
        <v>104</v>
      </c>
      <c r="B9" s="135">
        <f t="shared" ref="B9:H9" si="4">$L9*B$16*$L$16</f>
        <v>0</v>
      </c>
      <c r="C9" s="135">
        <f t="shared" si="4"/>
        <v>9450</v>
      </c>
      <c r="D9" s="135">
        <f t="shared" si="4"/>
        <v>22049.999999999996</v>
      </c>
      <c r="E9" s="135">
        <f t="shared" si="4"/>
        <v>22049.999999999996</v>
      </c>
      <c r="F9" s="135">
        <f t="shared" si="4"/>
        <v>9450</v>
      </c>
      <c r="G9" s="135">
        <f t="shared" si="4"/>
        <v>0</v>
      </c>
      <c r="H9" s="135">
        <f t="shared" si="4"/>
        <v>0</v>
      </c>
      <c r="I9" s="136">
        <f t="shared" si="1"/>
        <v>62999.999999999993</v>
      </c>
      <c r="J9" s="137">
        <f t="shared" si="2"/>
        <v>5.9999999999999991E-2</v>
      </c>
      <c r="K9" s="131" t="s">
        <v>16</v>
      </c>
      <c r="L9" s="138">
        <v>0.06</v>
      </c>
    </row>
    <row r="10" spans="1:14" ht="27.6" x14ac:dyDescent="0.3">
      <c r="A10" s="143" t="s">
        <v>97</v>
      </c>
      <c r="B10" s="144">
        <f>SUM(B8:B9)</f>
        <v>0</v>
      </c>
      <c r="C10" s="144">
        <f t="shared" ref="C10:H10" si="5">SUM(C8:C9)</f>
        <v>157500</v>
      </c>
      <c r="D10" s="144">
        <f t="shared" si="5"/>
        <v>367500</v>
      </c>
      <c r="E10" s="144">
        <f t="shared" si="5"/>
        <v>367500</v>
      </c>
      <c r="F10" s="144">
        <f t="shared" si="5"/>
        <v>157500</v>
      </c>
      <c r="G10" s="144">
        <f t="shared" si="5"/>
        <v>0</v>
      </c>
      <c r="H10" s="144">
        <f t="shared" si="5"/>
        <v>0</v>
      </c>
      <c r="I10" s="144">
        <f t="shared" si="1"/>
        <v>1050000</v>
      </c>
      <c r="J10" s="145">
        <f t="shared" si="2"/>
        <v>1</v>
      </c>
      <c r="K10" s="131" t="s">
        <v>16</v>
      </c>
      <c r="L10" s="138">
        <f>L8+L9</f>
        <v>1</v>
      </c>
    </row>
    <row r="11" spans="1:14" ht="31.2" x14ac:dyDescent="0.3">
      <c r="A11" s="142" t="s">
        <v>134</v>
      </c>
      <c r="B11" s="135">
        <f t="shared" ref="B11:H12" si="6">$L11*B$16*$L$16</f>
        <v>0</v>
      </c>
      <c r="C11" s="135">
        <f t="shared" si="6"/>
        <v>0</v>
      </c>
      <c r="D11" s="135">
        <f t="shared" si="6"/>
        <v>0</v>
      </c>
      <c r="E11" s="135">
        <f t="shared" si="6"/>
        <v>0</v>
      </c>
      <c r="F11" s="135">
        <f t="shared" si="6"/>
        <v>0</v>
      </c>
      <c r="G11" s="135">
        <f t="shared" si="6"/>
        <v>0</v>
      </c>
      <c r="H11" s="135">
        <f t="shared" si="6"/>
        <v>0</v>
      </c>
      <c r="I11" s="136">
        <f t="shared" si="1"/>
        <v>0</v>
      </c>
      <c r="J11" s="137">
        <f t="shared" si="2"/>
        <v>0</v>
      </c>
      <c r="K11" s="131" t="s">
        <v>16</v>
      </c>
      <c r="L11" s="138">
        <v>0</v>
      </c>
    </row>
    <row r="12" spans="1:14" ht="31.2" x14ac:dyDescent="0.3">
      <c r="A12" s="142" t="s">
        <v>135</v>
      </c>
      <c r="B12" s="135">
        <f t="shared" si="6"/>
        <v>0</v>
      </c>
      <c r="C12" s="135">
        <f t="shared" si="6"/>
        <v>0</v>
      </c>
      <c r="D12" s="135">
        <f t="shared" si="6"/>
        <v>0</v>
      </c>
      <c r="E12" s="135">
        <f t="shared" si="6"/>
        <v>0</v>
      </c>
      <c r="F12" s="135">
        <f t="shared" si="6"/>
        <v>0</v>
      </c>
      <c r="G12" s="135">
        <f t="shared" si="6"/>
        <v>0</v>
      </c>
      <c r="H12" s="135">
        <f t="shared" si="6"/>
        <v>0</v>
      </c>
      <c r="I12" s="136">
        <f t="shared" si="1"/>
        <v>0</v>
      </c>
      <c r="J12" s="137">
        <f t="shared" si="2"/>
        <v>0</v>
      </c>
      <c r="K12" s="131" t="s">
        <v>16</v>
      </c>
      <c r="L12" s="138">
        <v>0</v>
      </c>
    </row>
    <row r="13" spans="1:14" ht="27.6" x14ac:dyDescent="0.3">
      <c r="A13" s="143" t="s">
        <v>105</v>
      </c>
      <c r="B13" s="144">
        <f>SUM(B11:B12)</f>
        <v>0</v>
      </c>
      <c r="C13" s="144">
        <f t="shared" ref="C13:H13" si="7">SUM(C11:C12)</f>
        <v>0</v>
      </c>
      <c r="D13" s="144">
        <f t="shared" si="7"/>
        <v>0</v>
      </c>
      <c r="E13" s="144">
        <f t="shared" si="7"/>
        <v>0</v>
      </c>
      <c r="F13" s="144">
        <f t="shared" si="7"/>
        <v>0</v>
      </c>
      <c r="G13" s="144">
        <f t="shared" si="7"/>
        <v>0</v>
      </c>
      <c r="H13" s="144">
        <f t="shared" si="7"/>
        <v>0</v>
      </c>
      <c r="I13" s="144">
        <f t="shared" si="1"/>
        <v>0</v>
      </c>
      <c r="J13" s="146">
        <f t="shared" si="2"/>
        <v>0</v>
      </c>
      <c r="K13" s="131" t="s">
        <v>16</v>
      </c>
      <c r="L13" s="138">
        <f>SUM(L11:L12)</f>
        <v>0</v>
      </c>
    </row>
    <row r="14" spans="1:14" ht="27.6" x14ac:dyDescent="0.3">
      <c r="A14" s="147" t="s">
        <v>98</v>
      </c>
      <c r="B14" s="148">
        <f>B10+B13</f>
        <v>0</v>
      </c>
      <c r="C14" s="148">
        <f t="shared" ref="C14:H14" si="8">C10+C13</f>
        <v>157500</v>
      </c>
      <c r="D14" s="148">
        <f t="shared" si="8"/>
        <v>367500</v>
      </c>
      <c r="E14" s="148">
        <f t="shared" si="8"/>
        <v>367500</v>
      </c>
      <c r="F14" s="148">
        <f t="shared" si="8"/>
        <v>157500</v>
      </c>
      <c r="G14" s="148">
        <f t="shared" si="8"/>
        <v>0</v>
      </c>
      <c r="H14" s="148">
        <f t="shared" si="8"/>
        <v>0</v>
      </c>
      <c r="I14" s="148">
        <f>SUM(B14:H14)</f>
        <v>1050000</v>
      </c>
      <c r="J14" s="149">
        <f t="shared" si="2"/>
        <v>1</v>
      </c>
      <c r="K14" s="131" t="s">
        <v>16</v>
      </c>
      <c r="L14" s="138">
        <f>L10+L13</f>
        <v>1</v>
      </c>
    </row>
    <row r="15" spans="1:14" ht="27.6" x14ac:dyDescent="0.3">
      <c r="K15" s="131" t="s">
        <v>16</v>
      </c>
    </row>
    <row r="16" spans="1:14" ht="27.6" x14ac:dyDescent="0.3">
      <c r="A16" s="150" t="s">
        <v>106</v>
      </c>
      <c r="B16" s="138"/>
      <c r="C16" s="138">
        <v>0.15</v>
      </c>
      <c r="D16" s="138">
        <v>0.35</v>
      </c>
      <c r="E16" s="138">
        <v>0.35</v>
      </c>
      <c r="F16" s="138">
        <v>0.15</v>
      </c>
      <c r="G16" s="138"/>
      <c r="H16" s="138"/>
      <c r="I16" s="138">
        <f>SUM(B16:H16)</f>
        <v>1</v>
      </c>
      <c r="J16" s="192" t="s">
        <v>124</v>
      </c>
      <c r="K16" s="193"/>
      <c r="L16" s="151">
        <f>'Līguma pielikums'!A4</f>
        <v>1050000</v>
      </c>
      <c r="M16" s="125" t="s">
        <v>16</v>
      </c>
      <c r="N16" s="125"/>
    </row>
    <row r="17" spans="11:11" ht="27.6" x14ac:dyDescent="0.3">
      <c r="K17" s="131" t="s">
        <v>16</v>
      </c>
    </row>
  </sheetData>
  <mergeCells count="5">
    <mergeCell ref="A1:J1"/>
    <mergeCell ref="A3:A4"/>
    <mergeCell ref="I3:J3"/>
    <mergeCell ref="L3:L4"/>
    <mergeCell ref="J16:K16"/>
  </mergeCells>
  <pageMargins left="0.70866141732283472" right="0.70866141732283472" top="0.74803149606299213" bottom="0.74803149606299213" header="0.31496062992125984" footer="0.31496062992125984"/>
  <pageSetup scale="73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workbookViewId="0">
      <selection activeCell="C13" sqref="C13"/>
    </sheetView>
  </sheetViews>
  <sheetFormatPr defaultRowHeight="14.4" x14ac:dyDescent="0.3"/>
  <cols>
    <col min="1" max="1" width="23.21875" customWidth="1"/>
    <col min="2" max="4" width="14.21875" customWidth="1"/>
    <col min="6" max="6" width="11.44140625" bestFit="1" customWidth="1"/>
  </cols>
  <sheetData>
    <row r="1" spans="1:6" s="1" customFormat="1" ht="41.25" customHeight="1" x14ac:dyDescent="0.3">
      <c r="A1" s="24"/>
      <c r="B1" s="24" t="s">
        <v>51</v>
      </c>
      <c r="C1" s="24" t="s">
        <v>52</v>
      </c>
      <c r="D1" s="24" t="s">
        <v>53</v>
      </c>
    </row>
    <row r="2" spans="1:6" s="5" customFormat="1" ht="24" customHeight="1" x14ac:dyDescent="0.3">
      <c r="A2" s="25" t="s">
        <v>49</v>
      </c>
      <c r="B2" s="9">
        <f>Kopsavilkums!N25</f>
        <v>925197.59000000008</v>
      </c>
      <c r="C2" s="9"/>
      <c r="D2" s="9">
        <f>IF(B2&gt;C2,0,B2-C2)</f>
        <v>0</v>
      </c>
      <c r="F2" s="34"/>
    </row>
    <row r="3" spans="1:6" s="5" customFormat="1" ht="24" customHeight="1" x14ac:dyDescent="0.3">
      <c r="A3" s="25" t="s">
        <v>50</v>
      </c>
      <c r="B3" s="9">
        <f>Kopsavilkums!O25</f>
        <v>74802.409999999989</v>
      </c>
      <c r="C3" s="9"/>
      <c r="D3" s="9">
        <f>IF(B3&lt;C3,0,B3-C3)</f>
        <v>74802.409999999989</v>
      </c>
    </row>
    <row r="4" spans="1:6" s="28" customFormat="1" ht="24" customHeight="1" x14ac:dyDescent="0.3">
      <c r="A4" s="26" t="s">
        <v>33</v>
      </c>
      <c r="B4" s="31">
        <f t="shared" ref="B4:C4" si="0">SUM(B2:B3)</f>
        <v>1000000.0000000001</v>
      </c>
      <c r="C4" s="31">
        <f t="shared" si="0"/>
        <v>0</v>
      </c>
      <c r="D4" s="27">
        <f>SUM(D2:D3)</f>
        <v>74802.409999999989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Kopsavilkums</vt:lpstr>
      <vt:lpstr>Pamata infrastruktūra</vt:lpstr>
      <vt:lpstr>Pamata infrastruktūra2</vt:lpstr>
      <vt:lpstr>Jaunais lifts</vt:lpstr>
      <vt:lpstr>Komunikacijas</vt:lpstr>
      <vt:lpstr>Atbalsta darbības</vt:lpstr>
      <vt:lpstr>Līguma pielikums</vt:lpstr>
      <vt:lpstr>Projekta finansēšanas plāns</vt:lpstr>
      <vt:lpstr>Pārbaude</vt:lpstr>
      <vt:lpstr>'Jaunais lifts'!Print_Area</vt:lpstr>
      <vt:lpstr>Komunikacijas!Print_Area</vt:lpstr>
      <vt:lpstr>Kopsavilkums!Print_Area</vt:lpstr>
      <vt:lpstr>'Līguma pielikums'!Print_Area</vt:lpstr>
      <vt:lpstr>'Pamata infrastruktūra'!Print_Area</vt:lpstr>
      <vt:lpstr>'Pamata infrastruktūra2'!Print_Area</vt:lpstr>
      <vt:lpstr>'Projekta finansēšanas plāns'!Print_Area</vt:lpstr>
      <vt:lpstr>Kopsavilkums!Print_Titles</vt:lpstr>
    </vt:vector>
  </TitlesOfParts>
  <Company>LR Veselības ministrija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Infrastruktūras izmantošanas valsts apmaksāto pakalpojumu sniegšanai un citu darbību veikšanai proporcijas aprēķins</dc:title>
  <dc:subject>Aprēķins</dc:subject>
  <dc:creator>J.Blaževičs</dc:creator>
  <cp:lastModifiedBy>Evija Kvante</cp:lastModifiedBy>
  <cp:lastPrinted>2017-01-26T13:22:43Z</cp:lastPrinted>
  <dcterms:created xsi:type="dcterms:W3CDTF">2012-10-25T11:13:17Z</dcterms:created>
  <dcterms:modified xsi:type="dcterms:W3CDTF">2023-09-05T14:06:58Z</dcterms:modified>
</cp:coreProperties>
</file>