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vnozare.pri\vm\Redirect_profiles\ebune\Desktop\"/>
    </mc:Choice>
  </mc:AlternateContent>
  <xr:revisionPtr revIDLastSave="0" documentId="8_{68932AE5-E521-4F18-AF19-FE6654352FFC}" xr6:coauthVersionLast="44" xr6:coauthVersionMax="44" xr10:uidLastSave="{00000000-0000-0000-0000-000000000000}"/>
  <bookViews>
    <workbookView xWindow="-19320" yWindow="-120" windowWidth="19440" windowHeight="15000" tabRatio="997" xr2:uid="{00000000-000D-0000-FFFF-FFFF00000000}"/>
  </bookViews>
  <sheets>
    <sheet name="Saraksts" sheetId="1" r:id="rId1"/>
    <sheet name="1.1." sheetId="2" r:id="rId2"/>
    <sheet name="1.2." sheetId="3" r:id="rId3"/>
    <sheet name="1.3." sheetId="4" r:id="rId4"/>
    <sheet name="2.1." sheetId="5" r:id="rId5"/>
    <sheet name="2.2." sheetId="6" r:id="rId6"/>
    <sheet name="2.3." sheetId="7" r:id="rId7"/>
    <sheet name="2.4." sheetId="17" r:id="rId8"/>
    <sheet name="2.5." sheetId="18" r:id="rId9"/>
    <sheet name="2.6." sheetId="19" r:id="rId10"/>
    <sheet name="2.7." sheetId="20" r:id="rId11"/>
    <sheet name="2.8." sheetId="21" r:id="rId12"/>
    <sheet name="3.1." sheetId="22" r:id="rId13"/>
    <sheet name="3.2." sheetId="23" r:id="rId14"/>
    <sheet name="3.3." sheetId="24" r:id="rId15"/>
    <sheet name="3.4." sheetId="25" r:id="rId16"/>
    <sheet name="4.1." sheetId="26" r:id="rId17"/>
    <sheet name="4.2." sheetId="27" r:id="rId18"/>
    <sheet name="4.3." sheetId="8" r:id="rId19"/>
    <sheet name="4.4." sheetId="9" r:id="rId20"/>
    <sheet name="4.5." sheetId="10" r:id="rId21"/>
    <sheet name="4.6." sheetId="11" r:id="rId22"/>
    <sheet name="4.7." sheetId="12" r:id="rId23"/>
    <sheet name="4.8." sheetId="13" r:id="rId24"/>
    <sheet name="4.9." sheetId="14" r:id="rId25"/>
    <sheet name="4.10." sheetId="15" r:id="rId26"/>
    <sheet name="4.11." sheetId="16" r:id="rId27"/>
    <sheet name="5.1." sheetId="28" r:id="rId28"/>
    <sheet name="5.2." sheetId="29" r:id="rId29"/>
    <sheet name="5.3." sheetId="30" r:id="rId30"/>
    <sheet name="5.4." sheetId="31" r:id="rId31"/>
    <sheet name="5.5." sheetId="32" r:id="rId32"/>
    <sheet name="6.1." sheetId="33" r:id="rId33"/>
    <sheet name="6.2." sheetId="34" r:id="rId34"/>
    <sheet name="6.3." sheetId="35" r:id="rId35"/>
    <sheet name="6.4." sheetId="39" r:id="rId36"/>
    <sheet name="6.5." sheetId="59" r:id="rId37"/>
    <sheet name="6.6." sheetId="60" r:id="rId38"/>
    <sheet name="6.7." sheetId="61" r:id="rId39"/>
    <sheet name="6.8." sheetId="62" r:id="rId40"/>
    <sheet name="6.9." sheetId="63" r:id="rId41"/>
    <sheet name="6.10." sheetId="64" r:id="rId42"/>
    <sheet name="6.11." sheetId="65" r:id="rId43"/>
    <sheet name="6.12." sheetId="57" r:id="rId44"/>
  </sheets>
  <definedNames>
    <definedName name="_xlnm.Print_Area" localSheetId="1">'1.1.'!$A$1:$D$39</definedName>
    <definedName name="_xlnm.Print_Area" localSheetId="2">'1.2.'!$A$1:$C$40</definedName>
    <definedName name="_xlnm.Print_Area" localSheetId="4">'2.1.'!$A$1:$C$41</definedName>
    <definedName name="_xlnm.Print_Area" localSheetId="5">'2.2.'!$A$1:$C$41</definedName>
    <definedName name="_xlnm.Print_Area" localSheetId="6">'2.3.'!$A$1:$C$41</definedName>
    <definedName name="_xlnm.Print_Area" localSheetId="7">'2.4.'!$A$1:$C$41</definedName>
    <definedName name="_xlnm.Print_Area" localSheetId="8">'2.5.'!$A$1:$C$41</definedName>
    <definedName name="_xlnm.Print_Area" localSheetId="9">'2.6.'!$A$1:$C$41</definedName>
    <definedName name="_xlnm.Print_Area" localSheetId="10">'2.7.'!$A$1:$C$41</definedName>
    <definedName name="_xlnm.Print_Area" localSheetId="11">'2.8.'!$A$1:$C$41</definedName>
    <definedName name="_xlnm.Print_Area" localSheetId="12">'3.1.'!$A$1:$D$44</definedName>
    <definedName name="_xlnm.Print_Area" localSheetId="13">'3.2.'!$A$1:$C$41</definedName>
    <definedName name="_xlnm.Print_Area" localSheetId="14">'3.3.'!$A$1:$C$41</definedName>
    <definedName name="_xlnm.Print_Area" localSheetId="15">'3.4.'!$A$1:$D$45</definedName>
    <definedName name="_xlnm.Print_Area" localSheetId="16">'4.1.'!$A$1:$C$34</definedName>
    <definedName name="_xlnm.Print_Area" localSheetId="25">'4.10.'!$A$1:$C$40</definedName>
    <definedName name="_xlnm.Print_Area" localSheetId="17">'4.2.'!$A$1:$C$37</definedName>
    <definedName name="_xlnm.Print_Area" localSheetId="18">'4.3.'!$A$1:$C$37</definedName>
    <definedName name="_xlnm.Print_Area" localSheetId="19">'4.4.'!$A$1:$C$34</definedName>
    <definedName name="_xlnm.Print_Area" localSheetId="20">'4.5.'!$A$1:$C$35</definedName>
    <definedName name="_xlnm.Print_Area" localSheetId="21">'4.6.'!$A$1:$C$27</definedName>
    <definedName name="_xlnm.Print_Area" localSheetId="22">'4.7.'!$A$1:$C$24</definedName>
    <definedName name="_xlnm.Print_Area" localSheetId="23">'4.8.'!$A$1:$C$24</definedName>
    <definedName name="_xlnm.Print_Area" localSheetId="24">'4.9.'!$A$1:$C$26</definedName>
    <definedName name="_xlnm.Print_Area" localSheetId="27">'5.1.'!$A$1:$C$42</definedName>
    <definedName name="_xlnm.Print_Area" localSheetId="28">'5.2.'!$A$1:$C$41</definedName>
    <definedName name="_xlnm.Print_Area" localSheetId="29">'5.3.'!$A$1:$C$37</definedName>
    <definedName name="_xlnm.Print_Area" localSheetId="30">'5.4.'!$A$1:$C$42</definedName>
    <definedName name="_xlnm.Print_Area" localSheetId="43">'6.12.'!$A$1:$C$21</definedName>
    <definedName name="_xlnm.Print_Area" localSheetId="33">'6.2.'!$A$1:$C$21</definedName>
    <definedName name="_xlnm.Print_Area" localSheetId="35">'6.4.'!$A$1:$C$21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35" l="1"/>
  <c r="C13" i="34"/>
  <c r="D13" i="1" l="1"/>
  <c r="C18" i="60"/>
  <c r="C20" i="57" l="1"/>
  <c r="C11" i="57"/>
  <c r="C10" i="57"/>
  <c r="C9" i="57"/>
  <c r="C25" i="65"/>
  <c r="C19" i="65"/>
  <c r="C18" i="65"/>
  <c r="C17" i="65"/>
  <c r="C16" i="65"/>
  <c r="C15" i="65"/>
  <c r="C14" i="65"/>
  <c r="C10" i="65"/>
  <c r="C9" i="65"/>
  <c r="C25" i="64"/>
  <c r="C19" i="64"/>
  <c r="C18" i="64"/>
  <c r="C17" i="64"/>
  <c r="C16" i="64"/>
  <c r="C15" i="64"/>
  <c r="C14" i="64"/>
  <c r="C11" i="64"/>
  <c r="C10" i="64"/>
  <c r="C9" i="64"/>
  <c r="C20" i="63"/>
  <c r="C14" i="63"/>
  <c r="C13" i="63"/>
  <c r="C10" i="63"/>
  <c r="C9" i="63"/>
  <c r="C20" i="62"/>
  <c r="C14" i="62"/>
  <c r="C13" i="62"/>
  <c r="C10" i="62"/>
  <c r="C9" i="62"/>
  <c r="C19" i="61"/>
  <c r="C20" i="61"/>
  <c r="C18" i="61"/>
  <c r="C17" i="61"/>
  <c r="C16" i="61"/>
  <c r="C15" i="61"/>
  <c r="C12" i="61"/>
  <c r="C11" i="61"/>
  <c r="C10" i="61"/>
  <c r="C9" i="61"/>
  <c r="C20" i="60"/>
  <c r="C19" i="60"/>
  <c r="C17" i="60"/>
  <c r="C16" i="60"/>
  <c r="C15" i="60"/>
  <c r="C12" i="60"/>
  <c r="C11" i="60"/>
  <c r="C10" i="60"/>
  <c r="C9" i="60"/>
  <c r="C26" i="59"/>
  <c r="C20" i="59"/>
  <c r="C19" i="59"/>
  <c r="C18" i="59"/>
  <c r="C17" i="59"/>
  <c r="C16" i="59"/>
  <c r="C15" i="59"/>
  <c r="C12" i="59"/>
  <c r="C11" i="59"/>
  <c r="C10" i="59"/>
  <c r="C9" i="59"/>
  <c r="C10" i="39"/>
  <c r="C9" i="39"/>
  <c r="C10" i="35"/>
  <c r="C9" i="35"/>
  <c r="C10" i="33"/>
  <c r="C9" i="33"/>
  <c r="C19" i="32"/>
  <c r="C11" i="32"/>
  <c r="C10" i="32"/>
  <c r="C9" i="32"/>
  <c r="C38" i="31"/>
  <c r="C32" i="31"/>
  <c r="C31" i="31"/>
  <c r="C30" i="31"/>
  <c r="C29" i="31"/>
  <c r="C28" i="31"/>
  <c r="C27" i="31"/>
  <c r="C26" i="31"/>
  <c r="C25" i="31"/>
  <c r="C24" i="31"/>
  <c r="C23" i="31"/>
  <c r="C22" i="31"/>
  <c r="C21" i="31"/>
  <c r="C18" i="31"/>
  <c r="C17" i="31"/>
  <c r="C16" i="31"/>
  <c r="C15" i="31"/>
  <c r="C14" i="31"/>
  <c r="C13" i="31"/>
  <c r="C12" i="31"/>
  <c r="C11" i="31"/>
  <c r="C10" i="31"/>
  <c r="C9" i="31"/>
  <c r="C33" i="30"/>
  <c r="C27" i="30"/>
  <c r="C26" i="30"/>
  <c r="C25" i="30"/>
  <c r="C23" i="30"/>
  <c r="C22" i="30"/>
  <c r="C21" i="30"/>
  <c r="C20" i="30"/>
  <c r="C19" i="30"/>
  <c r="C18" i="30"/>
  <c r="C17" i="30"/>
  <c r="C16" i="30"/>
  <c r="C13" i="30"/>
  <c r="C12" i="30"/>
  <c r="C11" i="30"/>
  <c r="C10" i="30"/>
  <c r="C9" i="30"/>
  <c r="C37" i="29"/>
  <c r="C31" i="29"/>
  <c r="C30" i="29"/>
  <c r="C29" i="29"/>
  <c r="C28" i="29"/>
  <c r="C27" i="29"/>
  <c r="C23" i="29"/>
  <c r="C22" i="29"/>
  <c r="C21" i="29"/>
  <c r="C20" i="29"/>
  <c r="C17" i="29"/>
  <c r="C16" i="29"/>
  <c r="C15" i="29"/>
  <c r="C13" i="29"/>
  <c r="C12" i="29"/>
  <c r="C11" i="29"/>
  <c r="C10" i="29"/>
  <c r="C9" i="29"/>
  <c r="C38" i="28"/>
  <c r="C32" i="28"/>
  <c r="C31" i="28"/>
  <c r="C30" i="28"/>
  <c r="C29" i="28"/>
  <c r="C28" i="28"/>
  <c r="C27" i="28"/>
  <c r="C26" i="28"/>
  <c r="C25" i="28"/>
  <c r="C24" i="28"/>
  <c r="C23" i="28"/>
  <c r="C22" i="28"/>
  <c r="C21" i="28"/>
  <c r="C18" i="28"/>
  <c r="C17" i="28"/>
  <c r="C16" i="28"/>
  <c r="C15" i="28"/>
  <c r="C14" i="28"/>
  <c r="C13" i="28"/>
  <c r="C12" i="28"/>
  <c r="C11" i="28"/>
  <c r="C10" i="28"/>
  <c r="C9" i="28"/>
  <c r="C18" i="16" l="1"/>
  <c r="C9" i="16"/>
  <c r="C39" i="15"/>
  <c r="C33" i="15"/>
  <c r="C32" i="15"/>
  <c r="C31" i="15"/>
  <c r="C29" i="15"/>
  <c r="C28" i="15"/>
  <c r="C27" i="15"/>
  <c r="C26" i="15"/>
  <c r="C25" i="15"/>
  <c r="C24" i="15"/>
  <c r="C23" i="15"/>
  <c r="C22" i="15"/>
  <c r="C19" i="15"/>
  <c r="C18" i="15"/>
  <c r="C17" i="15"/>
  <c r="C16" i="15"/>
  <c r="C15" i="15"/>
  <c r="C14" i="15"/>
  <c r="C13" i="15"/>
  <c r="C12" i="15"/>
  <c r="C11" i="15"/>
  <c r="C10" i="15"/>
  <c r="C9" i="15"/>
  <c r="C22" i="14"/>
  <c r="C16" i="14"/>
  <c r="C15" i="14"/>
  <c r="C14" i="14"/>
  <c r="C13" i="14"/>
  <c r="C10" i="14"/>
  <c r="C9" i="14"/>
  <c r="C23" i="13"/>
  <c r="C16" i="13"/>
  <c r="C15" i="13"/>
  <c r="C14" i="13"/>
  <c r="C10" i="13"/>
  <c r="C9" i="13"/>
  <c r="C23" i="12"/>
  <c r="C17" i="12"/>
  <c r="C14" i="12"/>
  <c r="C9" i="12"/>
  <c r="C23" i="11"/>
  <c r="C17" i="11"/>
  <c r="C16" i="11"/>
  <c r="C15" i="11"/>
  <c r="C10" i="11"/>
  <c r="C9" i="11"/>
  <c r="C34" i="10"/>
  <c r="C28" i="10"/>
  <c r="C25" i="10"/>
  <c r="C23" i="10"/>
  <c r="C22" i="10"/>
  <c r="C19" i="10"/>
  <c r="C18" i="10"/>
  <c r="C17" i="10"/>
  <c r="C14" i="10"/>
  <c r="C13" i="10"/>
  <c r="C12" i="10"/>
  <c r="C10" i="10"/>
  <c r="C9" i="10"/>
  <c r="C33" i="9"/>
  <c r="C27" i="9"/>
  <c r="C25" i="9"/>
  <c r="C24" i="9"/>
  <c r="C22" i="9"/>
  <c r="C21" i="9"/>
  <c r="C20" i="9"/>
  <c r="C19" i="9"/>
  <c r="C18" i="9"/>
  <c r="C17" i="9"/>
  <c r="C16" i="9"/>
  <c r="C12" i="9"/>
  <c r="C11" i="9"/>
  <c r="C10" i="9"/>
  <c r="C9" i="9"/>
  <c r="C33" i="8"/>
  <c r="C27" i="8"/>
  <c r="C26" i="8"/>
  <c r="C25" i="8"/>
  <c r="C24" i="8"/>
  <c r="C23" i="8"/>
  <c r="C22" i="8"/>
  <c r="C21" i="8"/>
  <c r="C20" i="8"/>
  <c r="C19" i="8"/>
  <c r="C18" i="8"/>
  <c r="C17" i="8"/>
  <c r="C16" i="8"/>
  <c r="C13" i="8"/>
  <c r="C12" i="8"/>
  <c r="C11" i="8"/>
  <c r="C10" i="8"/>
  <c r="C9" i="8"/>
  <c r="C33" i="27"/>
  <c r="C27" i="27"/>
  <c r="C22" i="27"/>
  <c r="C20" i="27"/>
  <c r="C17" i="27"/>
  <c r="C16" i="27"/>
  <c r="C12" i="27"/>
  <c r="C10" i="27"/>
  <c r="C9" i="27"/>
  <c r="C33" i="26"/>
  <c r="C27" i="26"/>
  <c r="C26" i="26"/>
  <c r="C25" i="26"/>
  <c r="C24" i="26"/>
  <c r="C23" i="26"/>
  <c r="C22" i="26"/>
  <c r="C21" i="26"/>
  <c r="C19" i="26"/>
  <c r="C17" i="26"/>
  <c r="C16" i="26"/>
  <c r="C13" i="26"/>
  <c r="C12" i="26"/>
  <c r="C11" i="26"/>
  <c r="C10" i="26"/>
  <c r="C9" i="26"/>
  <c r="C39" i="25"/>
  <c r="C33" i="25"/>
  <c r="C32" i="25"/>
  <c r="C31" i="25"/>
  <c r="C30" i="25"/>
  <c r="C29" i="25"/>
  <c r="C28" i="25"/>
  <c r="C27" i="25"/>
  <c r="C26" i="25"/>
  <c r="C25" i="25"/>
  <c r="C24" i="25"/>
  <c r="C23" i="25"/>
  <c r="C22" i="25"/>
  <c r="C18" i="25"/>
  <c r="C17" i="25"/>
  <c r="C16" i="25"/>
  <c r="C15" i="25"/>
  <c r="C14" i="25"/>
  <c r="C13" i="25"/>
  <c r="C12" i="25" l="1"/>
  <c r="C11" i="25"/>
  <c r="C10" i="25"/>
  <c r="C9" i="25"/>
  <c r="C38" i="24"/>
  <c r="C32" i="24"/>
  <c r="C31" i="24"/>
  <c r="C30" i="24"/>
  <c r="C29" i="24"/>
  <c r="C28" i="24"/>
  <c r="C27" i="24"/>
  <c r="C26" i="24"/>
  <c r="C25" i="24"/>
  <c r="C24" i="24"/>
  <c r="C23" i="24"/>
  <c r="C22" i="24"/>
  <c r="C21" i="24"/>
  <c r="C18" i="24"/>
  <c r="C17" i="24"/>
  <c r="C16" i="24"/>
  <c r="C15" i="24"/>
  <c r="C14" i="24"/>
  <c r="C13" i="24"/>
  <c r="C12" i="24"/>
  <c r="C11" i="24"/>
  <c r="C10" i="24"/>
  <c r="C9" i="24"/>
  <c r="C38" i="23"/>
  <c r="C32" i="23"/>
  <c r="C26" i="23"/>
  <c r="C24" i="23"/>
  <c r="C22" i="23"/>
  <c r="C21" i="23"/>
  <c r="C18" i="23"/>
  <c r="C17" i="23"/>
  <c r="C16" i="23"/>
  <c r="C14" i="23"/>
  <c r="C12" i="23"/>
  <c r="C11" i="23"/>
  <c r="C10" i="23"/>
  <c r="C9" i="23"/>
  <c r="C38" i="22"/>
  <c r="C32" i="22"/>
  <c r="C31" i="22"/>
  <c r="C30" i="22"/>
  <c r="C29" i="22"/>
  <c r="C28" i="22"/>
  <c r="C27" i="22"/>
  <c r="C26" i="22"/>
  <c r="C25" i="22"/>
  <c r="C24" i="22"/>
  <c r="C23" i="22"/>
  <c r="C22" i="22"/>
  <c r="C21" i="22"/>
  <c r="C18" i="22"/>
  <c r="C17" i="22"/>
  <c r="C16" i="22"/>
  <c r="C15" i="22"/>
  <c r="C14" i="22"/>
  <c r="C13" i="22"/>
  <c r="C12" i="22"/>
  <c r="C11" i="22"/>
  <c r="C10" i="22"/>
  <c r="C9" i="22"/>
  <c r="C38" i="21"/>
  <c r="C32" i="21"/>
  <c r="C31" i="21"/>
  <c r="C30" i="21"/>
  <c r="C29" i="21"/>
  <c r="C28" i="21"/>
  <c r="C27" i="21"/>
  <c r="C26" i="21"/>
  <c r="C25" i="21"/>
  <c r="C24" i="21"/>
  <c r="C23" i="21"/>
  <c r="C22" i="21"/>
  <c r="C21" i="21"/>
  <c r="C18" i="21"/>
  <c r="C17" i="21"/>
  <c r="C16" i="21"/>
  <c r="C15" i="21"/>
  <c r="C14" i="21"/>
  <c r="C13" i="21"/>
  <c r="C12" i="21"/>
  <c r="C11" i="21"/>
  <c r="C10" i="21"/>
  <c r="C9" i="21"/>
  <c r="C38" i="20"/>
  <c r="C32" i="20"/>
  <c r="C31" i="20"/>
  <c r="C30" i="20"/>
  <c r="C29" i="20"/>
  <c r="C28" i="20"/>
  <c r="C27" i="20"/>
  <c r="C26" i="20"/>
  <c r="C25" i="20"/>
  <c r="C24" i="20"/>
  <c r="C23" i="20"/>
  <c r="C22" i="20"/>
  <c r="C21" i="20"/>
  <c r="C18" i="20"/>
  <c r="C17" i="20"/>
  <c r="C16" i="20"/>
  <c r="C15" i="20"/>
  <c r="C14" i="20"/>
  <c r="C13" i="20"/>
  <c r="C12" i="20"/>
  <c r="C11" i="20"/>
  <c r="C10" i="20"/>
  <c r="C9" i="20"/>
  <c r="C38" i="19"/>
  <c r="C32" i="19"/>
  <c r="C31" i="19"/>
  <c r="C30" i="19"/>
  <c r="C29" i="19"/>
  <c r="C28" i="19"/>
  <c r="C27" i="19"/>
  <c r="C26" i="19"/>
  <c r="C25" i="19"/>
  <c r="C24" i="19"/>
  <c r="C23" i="19"/>
  <c r="C22" i="19"/>
  <c r="C21" i="19"/>
  <c r="C18" i="19"/>
  <c r="C17" i="19"/>
  <c r="C16" i="19"/>
  <c r="C15" i="19"/>
  <c r="C14" i="19"/>
  <c r="C13" i="19"/>
  <c r="C12" i="19"/>
  <c r="C11" i="19"/>
  <c r="C10" i="19"/>
  <c r="C9" i="19"/>
  <c r="C38" i="18"/>
  <c r="C32" i="18"/>
  <c r="C31" i="18"/>
  <c r="C30" i="18"/>
  <c r="C29" i="18"/>
  <c r="C28" i="18"/>
  <c r="C27" i="18"/>
  <c r="C26" i="18"/>
  <c r="C25" i="18"/>
  <c r="C24" i="18"/>
  <c r="C23" i="18"/>
  <c r="C22" i="18"/>
  <c r="C21" i="18"/>
  <c r="C18" i="18"/>
  <c r="C17" i="18"/>
  <c r="C16" i="18"/>
  <c r="C15" i="18"/>
  <c r="C14" i="18"/>
  <c r="C13" i="18"/>
  <c r="C12" i="18"/>
  <c r="C11" i="18"/>
  <c r="C10" i="18"/>
  <c r="C9" i="18"/>
  <c r="C38" i="17"/>
  <c r="C32" i="17"/>
  <c r="C31" i="17"/>
  <c r="C30" i="17"/>
  <c r="C29" i="17"/>
  <c r="C28" i="17"/>
  <c r="C27" i="17"/>
  <c r="C26" i="17"/>
  <c r="C25" i="17"/>
  <c r="C24" i="17"/>
  <c r="C23" i="17"/>
  <c r="C22" i="17"/>
  <c r="C21" i="17"/>
  <c r="C18" i="17"/>
  <c r="C17" i="17"/>
  <c r="C16" i="17"/>
  <c r="C15" i="17"/>
  <c r="C14" i="17"/>
  <c r="C13" i="17"/>
  <c r="C12" i="17"/>
  <c r="C11" i="17"/>
  <c r="C10" i="17"/>
  <c r="C9" i="17"/>
  <c r="C38" i="7"/>
  <c r="C32" i="7"/>
  <c r="C31" i="7"/>
  <c r="C30" i="7"/>
  <c r="C29" i="7"/>
  <c r="C28" i="7"/>
  <c r="C27" i="7"/>
  <c r="C26" i="7"/>
  <c r="C25" i="7"/>
  <c r="C24" i="7"/>
  <c r="C23" i="7"/>
  <c r="C22" i="7"/>
  <c r="C21" i="7"/>
  <c r="C18" i="7"/>
  <c r="C17" i="7"/>
  <c r="C16" i="7"/>
  <c r="C15" i="7"/>
  <c r="C14" i="7"/>
  <c r="C13" i="7"/>
  <c r="C12" i="7"/>
  <c r="C11" i="7"/>
  <c r="C10" i="7"/>
  <c r="C9" i="7"/>
  <c r="C38" i="6"/>
  <c r="C32" i="6"/>
  <c r="C31" i="6"/>
  <c r="C30" i="6"/>
  <c r="C29" i="6"/>
  <c r="C28" i="6"/>
  <c r="C27" i="6"/>
  <c r="C26" i="6"/>
  <c r="C25" i="6"/>
  <c r="C24" i="6"/>
  <c r="C23" i="6"/>
  <c r="C22" i="6"/>
  <c r="C21" i="6"/>
  <c r="C18" i="6"/>
  <c r="C17" i="6"/>
  <c r="C16" i="6"/>
  <c r="C15" i="6"/>
  <c r="C14" i="6"/>
  <c r="C13" i="6"/>
  <c r="C12" i="6"/>
  <c r="C11" i="6"/>
  <c r="C10" i="6"/>
  <c r="C9" i="6"/>
  <c r="C38" i="5" l="1"/>
  <c r="C34" i="5"/>
  <c r="C32" i="5"/>
  <c r="C31" i="5"/>
  <c r="C30" i="5"/>
  <c r="C29" i="5"/>
  <c r="C28" i="5"/>
  <c r="C27" i="5"/>
  <c r="C26" i="5"/>
  <c r="C25" i="5"/>
  <c r="C24" i="5"/>
  <c r="C23" i="5"/>
  <c r="C22" i="5"/>
  <c r="C21" i="5"/>
  <c r="C18" i="5"/>
  <c r="C17" i="5"/>
  <c r="C16" i="5"/>
  <c r="C15" i="5"/>
  <c r="C14" i="5"/>
  <c r="C13" i="5"/>
  <c r="C12" i="5"/>
  <c r="C11" i="5"/>
  <c r="C10" i="5"/>
  <c r="C9" i="5"/>
  <c r="C37" i="4"/>
  <c r="C39" i="3"/>
  <c r="C38" i="2"/>
  <c r="C31" i="4"/>
  <c r="C30" i="4"/>
  <c r="C28" i="4"/>
  <c r="C27" i="4"/>
  <c r="C26" i="4"/>
  <c r="C25" i="4"/>
  <c r="C24" i="4"/>
  <c r="C23" i="4"/>
  <c r="C22" i="4"/>
  <c r="C21" i="4"/>
  <c r="C20" i="4"/>
  <c r="C17" i="4"/>
  <c r="C16" i="4"/>
  <c r="C15" i="4"/>
  <c r="C14" i="4"/>
  <c r="C13" i="4"/>
  <c r="C12" i="4"/>
  <c r="C11" i="4"/>
  <c r="C10" i="4"/>
  <c r="C9" i="4"/>
  <c r="C33" i="3"/>
  <c r="C31" i="3"/>
  <c r="C30" i="3"/>
  <c r="C29" i="3"/>
  <c r="C28" i="3"/>
  <c r="C27" i="3"/>
  <c r="C26" i="3"/>
  <c r="C25" i="3"/>
  <c r="C24" i="3"/>
  <c r="C23" i="3"/>
  <c r="C22" i="3"/>
  <c r="C21" i="3"/>
  <c r="C18" i="3"/>
  <c r="C16" i="3"/>
  <c r="C15" i="3"/>
  <c r="C14" i="3"/>
  <c r="C13" i="3"/>
  <c r="C12" i="3"/>
  <c r="C11" i="3"/>
  <c r="C10" i="3"/>
  <c r="C9" i="3"/>
  <c r="C32" i="2"/>
  <c r="C31" i="2"/>
  <c r="C30" i="2"/>
  <c r="C29" i="2"/>
  <c r="C27" i="2"/>
  <c r="C26" i="2"/>
  <c r="C25" i="2"/>
  <c r="C24" i="2"/>
  <c r="C23" i="2"/>
  <c r="C22" i="2"/>
  <c r="C21" i="2"/>
  <c r="C18" i="2"/>
  <c r="C17" i="2"/>
  <c r="C16" i="2"/>
  <c r="C15" i="2"/>
  <c r="C14" i="2"/>
  <c r="C13" i="2"/>
  <c r="C12" i="2"/>
  <c r="C11" i="2"/>
  <c r="C10" i="2"/>
  <c r="C9" i="2"/>
  <c r="C17" i="3" l="1"/>
  <c r="C15" i="57" l="1"/>
  <c r="C12" i="57"/>
  <c r="C16" i="57" l="1"/>
  <c r="C13" i="13"/>
  <c r="C14" i="11"/>
  <c r="C9" i="34" l="1"/>
  <c r="C16" i="12" l="1"/>
  <c r="C27" i="10"/>
  <c r="C26" i="9"/>
  <c r="C26" i="27"/>
  <c r="C31" i="23"/>
  <c r="C32" i="3"/>
  <c r="C24" i="30" l="1"/>
  <c r="C26" i="29"/>
  <c r="C25" i="29"/>
  <c r="C24" i="29"/>
  <c r="C14" i="29"/>
  <c r="C30" i="15" l="1"/>
  <c r="C15" i="12" l="1"/>
  <c r="C13" i="12"/>
  <c r="C13" i="11"/>
  <c r="C26" i="10"/>
  <c r="C24" i="10"/>
  <c r="C21" i="10"/>
  <c r="C20" i="10"/>
  <c r="C11" i="10"/>
  <c r="C23" i="9"/>
  <c r="C13" i="9"/>
  <c r="C25" i="27"/>
  <c r="C24" i="27"/>
  <c r="C21" i="27"/>
  <c r="C19" i="27"/>
  <c r="C18" i="27"/>
  <c r="C13" i="27"/>
  <c r="C11" i="27"/>
  <c r="C20" i="26"/>
  <c r="C18" i="26"/>
  <c r="C19" i="25"/>
  <c r="C30" i="23"/>
  <c r="C29" i="23"/>
  <c r="C28" i="23"/>
  <c r="C27" i="23"/>
  <c r="C25" i="23"/>
  <c r="C23" i="23"/>
  <c r="C15" i="23"/>
  <c r="C13" i="23"/>
  <c r="C29" i="4" l="1"/>
  <c r="C28" i="2"/>
  <c r="C11" i="65" l="1"/>
  <c r="C10" i="34" l="1"/>
  <c r="C11" i="35" l="1"/>
  <c r="C33" i="22"/>
  <c r="C11" i="34"/>
  <c r="C19" i="22"/>
  <c r="C34" i="22" l="1"/>
  <c r="C11" i="33"/>
  <c r="C12" i="32" l="1"/>
  <c r="C15" i="32" s="1"/>
  <c r="C17" i="13"/>
  <c r="C23" i="27"/>
  <c r="C18" i="11" l="1"/>
  <c r="C10" i="12" l="1"/>
  <c r="C19" i="3" l="1"/>
  <c r="C11" i="16" l="1"/>
  <c r="C15" i="63" l="1"/>
  <c r="C12" i="64"/>
  <c r="C15" i="62"/>
  <c r="C11" i="63"/>
  <c r="C20" i="64"/>
  <c r="C20" i="65"/>
  <c r="C12" i="65"/>
  <c r="C11" i="62" l="1"/>
  <c r="C16" i="62" s="1"/>
  <c r="C16" i="63"/>
  <c r="D60" i="1"/>
  <c r="F60" i="1" s="1"/>
  <c r="C21" i="64"/>
  <c r="C21" i="65"/>
  <c r="C21" i="61"/>
  <c r="C13" i="61"/>
  <c r="C21" i="60"/>
  <c r="C13" i="60"/>
  <c r="C21" i="59"/>
  <c r="C13" i="59"/>
  <c r="D57" i="1" l="1"/>
  <c r="D58" i="1"/>
  <c r="D59" i="1"/>
  <c r="D56" i="1"/>
  <c r="C22" i="61"/>
  <c r="C22" i="60"/>
  <c r="C26" i="60" s="1"/>
  <c r="C22" i="59"/>
  <c r="C26" i="61" l="1"/>
  <c r="D54" i="1"/>
  <c r="D55" i="1"/>
  <c r="D53" i="1"/>
  <c r="C17" i="14" l="1"/>
  <c r="C14" i="35" l="1"/>
  <c r="C15" i="35" s="1"/>
  <c r="C14" i="34"/>
  <c r="C15" i="34" s="1"/>
  <c r="C19" i="34" s="1"/>
  <c r="C14" i="33"/>
  <c r="C19" i="35" l="1"/>
  <c r="C14" i="30"/>
  <c r="C12" i="39"/>
  <c r="C15" i="39" s="1"/>
  <c r="C19" i="39" s="1"/>
  <c r="C18" i="29"/>
  <c r="C19" i="31" l="1"/>
  <c r="D51" i="1"/>
  <c r="C33" i="31"/>
  <c r="C15" i="33"/>
  <c r="C19" i="33" s="1"/>
  <c r="C34" i="31" l="1"/>
  <c r="D50" i="1"/>
  <c r="D49" i="1"/>
  <c r="D47" i="1"/>
  <c r="D52" i="1"/>
  <c r="C28" i="30"/>
  <c r="C29" i="30" s="1"/>
  <c r="C32" i="29"/>
  <c r="C33" i="29" s="1"/>
  <c r="C14" i="16"/>
  <c r="C18" i="13"/>
  <c r="C18" i="12"/>
  <c r="D46" i="1" l="1"/>
  <c r="D45" i="1"/>
  <c r="D44" i="1"/>
  <c r="C14" i="9"/>
  <c r="C11" i="13"/>
  <c r="C11" i="11"/>
  <c r="C15" i="10"/>
  <c r="C14" i="27" l="1"/>
  <c r="C14" i="8"/>
  <c r="C20" i="15"/>
  <c r="C19" i="28"/>
  <c r="C14" i="26"/>
  <c r="C11" i="12"/>
  <c r="C19" i="12" s="1"/>
  <c r="C11" i="14"/>
  <c r="C18" i="14" s="1"/>
  <c r="C33" i="28"/>
  <c r="C34" i="15"/>
  <c r="C28" i="9"/>
  <c r="C29" i="9" s="1"/>
  <c r="C19" i="13"/>
  <c r="C19" i="11"/>
  <c r="C28" i="26"/>
  <c r="C34" i="28" l="1"/>
  <c r="C35" i="15"/>
  <c r="D41" i="1"/>
  <c r="D43" i="1"/>
  <c r="D39" i="1"/>
  <c r="D38" i="1"/>
  <c r="D37" i="1"/>
  <c r="D36" i="1"/>
  <c r="D34" i="1"/>
  <c r="C29" i="10"/>
  <c r="C30" i="10" s="1"/>
  <c r="C28" i="8"/>
  <c r="C29" i="8" s="1"/>
  <c r="C28" i="27"/>
  <c r="C29" i="27" s="1"/>
  <c r="C29" i="26"/>
  <c r="D40" i="1" l="1"/>
  <c r="D35" i="1"/>
  <c r="D33" i="1"/>
  <c r="D32" i="1"/>
  <c r="D31" i="1"/>
  <c r="C20" i="25"/>
  <c r="C19" i="19"/>
  <c r="C19" i="23" l="1"/>
  <c r="C19" i="24"/>
  <c r="C19" i="18"/>
  <c r="C19" i="20"/>
  <c r="C19" i="21"/>
  <c r="C34" i="25" l="1"/>
  <c r="C35" i="25" s="1"/>
  <c r="C33" i="24"/>
  <c r="C34" i="24" s="1"/>
  <c r="C33" i="23"/>
  <c r="C34" i="23" s="1"/>
  <c r="C33" i="21"/>
  <c r="C34" i="21" s="1"/>
  <c r="C33" i="20"/>
  <c r="C34" i="20" s="1"/>
  <c r="C33" i="19"/>
  <c r="C34" i="19" s="1"/>
  <c r="C33" i="18"/>
  <c r="C34" i="18" s="1"/>
  <c r="D29" i="1" l="1"/>
  <c r="D28" i="1"/>
  <c r="D27" i="1"/>
  <c r="F27" i="1" s="1"/>
  <c r="D26" i="1"/>
  <c r="D24" i="1"/>
  <c r="D23" i="1"/>
  <c r="D22" i="1"/>
  <c r="D21" i="1"/>
  <c r="C19" i="7" l="1"/>
  <c r="C19" i="17" l="1"/>
  <c r="C33" i="17"/>
  <c r="C34" i="17" l="1"/>
  <c r="C33" i="2"/>
  <c r="C19" i="5"/>
  <c r="C18" i="4"/>
  <c r="C19" i="2"/>
  <c r="D20" i="1" l="1"/>
  <c r="C19" i="6"/>
  <c r="C33" i="7"/>
  <c r="C34" i="7" s="1"/>
  <c r="C33" i="5"/>
  <c r="C34" i="3"/>
  <c r="D19" i="1" l="1"/>
  <c r="F19" i="1" s="1"/>
  <c r="D17" i="1"/>
  <c r="F17" i="1" s="1"/>
  <c r="C33" i="6"/>
  <c r="C34" i="6" s="1"/>
  <c r="C32" i="4"/>
  <c r="C33" i="4" s="1"/>
  <c r="C35" i="3"/>
  <c r="F59" i="1"/>
  <c r="F58" i="1"/>
  <c r="F57" i="1"/>
  <c r="F56" i="1"/>
  <c r="F55" i="1"/>
  <c r="F54" i="1"/>
  <c r="F44" i="1"/>
  <c r="F45" i="1"/>
  <c r="F46" i="1"/>
  <c r="F47" i="1"/>
  <c r="F32" i="1"/>
  <c r="F33" i="1"/>
  <c r="F34" i="1"/>
  <c r="F35" i="1"/>
  <c r="F36" i="1"/>
  <c r="F37" i="1"/>
  <c r="F38" i="1"/>
  <c r="F39" i="1"/>
  <c r="F40" i="1"/>
  <c r="F41" i="1"/>
  <c r="F53" i="1"/>
  <c r="F52" i="1"/>
  <c r="F51" i="1"/>
  <c r="F50" i="1"/>
  <c r="F49" i="1"/>
  <c r="F43" i="1"/>
  <c r="F31" i="1"/>
  <c r="F29" i="1"/>
  <c r="F28" i="1"/>
  <c r="F26" i="1"/>
  <c r="F24" i="1"/>
  <c r="F23" i="1"/>
  <c r="F22" i="1"/>
  <c r="F21" i="1"/>
  <c r="F20" i="1"/>
  <c r="C34" i="2"/>
  <c r="F13" i="1" l="1"/>
  <c r="D18" i="1"/>
  <c r="F18" i="1" s="1"/>
  <c r="D15" i="1"/>
  <c r="F15" i="1" s="1"/>
  <c r="D14" i="1"/>
  <c r="F14" i="1" s="1"/>
</calcChain>
</file>

<file path=xl/sharedStrings.xml><?xml version="1.0" encoding="utf-8"?>
<sst xmlns="http://schemas.openxmlformats.org/spreadsheetml/2006/main" count="2026" uniqueCount="387">
  <si>
    <t>Pielikums</t>
  </si>
  <si>
    <t>Nr.p.k.</t>
  </si>
  <si>
    <t>Pakalpojuma veids</t>
  </si>
  <si>
    <t>Mērvienība</t>
  </si>
  <si>
    <r>
      <t>Cena bez PVN (</t>
    </r>
    <r>
      <rPr>
        <b/>
        <i/>
        <sz val="12"/>
        <rFont val="Times New Roman"/>
        <family val="1"/>
        <charset val="186"/>
      </rPr>
      <t>euro</t>
    </r>
    <r>
      <rPr>
        <b/>
        <sz val="12"/>
        <rFont val="Times New Roman"/>
        <family val="1"/>
        <charset val="186"/>
      </rPr>
      <t>)</t>
    </r>
  </si>
  <si>
    <r>
      <t>PVN (</t>
    </r>
    <r>
      <rPr>
        <b/>
        <i/>
        <sz val="12"/>
        <rFont val="Times New Roman"/>
        <family val="1"/>
        <charset val="186"/>
      </rPr>
      <t>euro</t>
    </r>
    <r>
      <rPr>
        <b/>
        <sz val="12"/>
        <rFont val="Times New Roman"/>
        <family val="1"/>
        <charset val="186"/>
      </rPr>
      <t>)</t>
    </r>
  </si>
  <si>
    <r>
      <t>Cena ar PVN (</t>
    </r>
    <r>
      <rPr>
        <b/>
        <i/>
        <sz val="12"/>
        <rFont val="Times New Roman"/>
        <family val="1"/>
        <charset val="186"/>
      </rPr>
      <t>euro</t>
    </r>
    <r>
      <rPr>
        <b/>
        <sz val="12"/>
        <rFont val="Times New Roman"/>
        <family val="1"/>
        <charset val="186"/>
      </rPr>
      <t>)</t>
    </r>
  </si>
  <si>
    <t>1.</t>
  </si>
  <si>
    <t>1.1.</t>
  </si>
  <si>
    <t>1.2.</t>
  </si>
  <si>
    <t>1.3.</t>
  </si>
  <si>
    <t>2.</t>
  </si>
  <si>
    <t>2.1.</t>
  </si>
  <si>
    <t>2.2.</t>
  </si>
  <si>
    <t>2.3.</t>
  </si>
  <si>
    <t>2.4.</t>
  </si>
  <si>
    <t>2.5.</t>
  </si>
  <si>
    <t>2.6.</t>
  </si>
  <si>
    <t>2.7.</t>
  </si>
  <si>
    <t>2.8.</t>
  </si>
  <si>
    <t>3.1.</t>
  </si>
  <si>
    <t>3.2.</t>
  </si>
  <si>
    <t>3.3.</t>
  </si>
  <si>
    <t>4.1.</t>
  </si>
  <si>
    <t>4.2.</t>
  </si>
  <si>
    <t>5.</t>
  </si>
  <si>
    <t>6.</t>
  </si>
  <si>
    <t>6.1.</t>
  </si>
  <si>
    <t>6.2.</t>
  </si>
  <si>
    <t>6.3.</t>
  </si>
  <si>
    <t>Ministru kabineta noteikumu projekta "Neatliekamās medicīniskās palīdzības dienesta maksas pakalpojumu cenrādis" sākotnējās (ex-ante) ietekmes novērtējuma ziņojumam (anotācijai)</t>
  </si>
  <si>
    <t>Neatliekamās medicīniskās palīdzības dienesta maksas pakalpojumu cenrādis</t>
  </si>
  <si>
    <t>3.4.</t>
  </si>
  <si>
    <t>4.3.</t>
  </si>
  <si>
    <t>4.4.</t>
  </si>
  <si>
    <t>4.5.</t>
  </si>
  <si>
    <t>4.6.</t>
  </si>
  <si>
    <t>4.7.</t>
  </si>
  <si>
    <t>4.8.</t>
  </si>
  <si>
    <t>4.9.</t>
  </si>
  <si>
    <t>4.10.</t>
  </si>
  <si>
    <t>4.11.</t>
  </si>
  <si>
    <t>3.</t>
  </si>
  <si>
    <t>4.</t>
  </si>
  <si>
    <t>5.1.</t>
  </si>
  <si>
    <t>5.2.</t>
  </si>
  <si>
    <t>5.3.</t>
  </si>
  <si>
    <t>5.4.</t>
  </si>
  <si>
    <t>5.5.</t>
  </si>
  <si>
    <t>6.4.</t>
  </si>
  <si>
    <t>6.5.</t>
  </si>
  <si>
    <t>6.6.</t>
  </si>
  <si>
    <t>6.7.</t>
  </si>
  <si>
    <t>6.8.</t>
  </si>
  <si>
    <t>6.9.</t>
  </si>
  <si>
    <t>6.10.</t>
  </si>
  <si>
    <t>6.11.</t>
  </si>
  <si>
    <t>6.12.</t>
  </si>
  <si>
    <t>Maksas pakalpojuma izcenojuma aprēķins</t>
  </si>
  <si>
    <r>
      <rPr>
        <b/>
        <sz val="12"/>
        <color theme="1"/>
        <rFont val="Times New Roman"/>
        <family val="1"/>
        <charset val="186"/>
      </rPr>
      <t>Laikposms:</t>
    </r>
    <r>
      <rPr>
        <sz val="12"/>
        <color theme="1"/>
        <rFont val="Times New Roman"/>
        <family val="1"/>
        <charset val="186"/>
      </rPr>
      <t xml:space="preserve"> 1 gads </t>
    </r>
  </si>
  <si>
    <t>Izdevumu klasifikācijas kods</t>
  </si>
  <si>
    <t>Rādītājs (materiāla/izejvielas nosaukums, atlīdzība un citi izmaksu veidi)</t>
  </si>
  <si>
    <t>Izmaksu apjoms noteiktā laikposmā viena maksas pakalpojuma veida nodrošināšanai</t>
  </si>
  <si>
    <t>Tiešās izmaksas</t>
  </si>
  <si>
    <t>Tiešās izmaksas kopā:</t>
  </si>
  <si>
    <t>Netiešās izmaksas</t>
  </si>
  <si>
    <t>Netiešās izmaksas kopā:</t>
  </si>
  <si>
    <t>Pakalpojuma izmaksas kopā:</t>
  </si>
  <si>
    <t>Maksas pakalpojuma vienību skaits noteiktā laikposmā (gab.)</t>
  </si>
  <si>
    <r>
      <t xml:space="preserve">Maksas pakalpojuma izcenojums (euro) </t>
    </r>
    <r>
      <rPr>
        <i/>
        <sz val="12"/>
        <color rgb="FF000000"/>
        <rFont val="Times New Roman"/>
        <family val="1"/>
        <charset val="186"/>
      </rPr>
      <t>(pakalpojuma izmaksas kopā, dalītas ar maksas pakalpojuma vienību skaitu noteiktā laikposmā)</t>
    </r>
  </si>
  <si>
    <r>
      <rPr>
        <b/>
        <sz val="12"/>
        <color theme="1"/>
        <rFont val="Times New Roman"/>
        <family val="1"/>
        <charset val="186"/>
      </rPr>
      <t>Iestāde:</t>
    </r>
    <r>
      <rPr>
        <sz val="12"/>
        <color theme="1"/>
        <rFont val="Times New Roman"/>
        <family val="1"/>
        <charset val="186"/>
      </rPr>
      <t xml:space="preserve"> Neatliekamās medicīniskās palīdzības dienests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</si>
  <si>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medicīniskās palīdzības sniegšanai, kas nav uzskatāma par neatliekamu</t>
    </r>
  </si>
  <si>
    <t>Plānotais pakalpojuma sniegšanas vienību skaits: 204</t>
  </si>
  <si>
    <t>Darba devēja valsts sociālās apdrošināšanas obligātā iemaksas, sociāla rakstura pabalsti un kompensācijas (24,09%)</t>
  </si>
  <si>
    <t>EKK 1110</t>
  </si>
  <si>
    <t>EKK 1210</t>
  </si>
  <si>
    <t>EKK 2210</t>
  </si>
  <si>
    <t>EKK 2250</t>
  </si>
  <si>
    <t>EKK 2340</t>
  </si>
  <si>
    <t>EKK 2313</t>
  </si>
  <si>
    <t>EKK 2322</t>
  </si>
  <si>
    <t>EKK 2240</t>
  </si>
  <si>
    <t>EKK 5100</t>
  </si>
  <si>
    <t>EEK 1110</t>
  </si>
  <si>
    <t>EKK 2220</t>
  </si>
  <si>
    <t>EKK 2230</t>
  </si>
  <si>
    <t>EKK 2510</t>
  </si>
  <si>
    <t>EKK 2100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</si>
  <si>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kura nesaņem no valsts budžeta apmaksātus veselības aprūpes pakalpojumus, neatliekamās medicīniskās palīdzības sniegšanai</t>
    </r>
  </si>
  <si>
    <t>Ārsts reanimatalogs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</si>
  <si>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Pacienta transportēšana uz nākamo tuvāko stacionāru, kurā var sniegt atbilstošu neatliekamo medicīnisko palīdzību, pēc pacienta pieprasījuma, ja pacientam nav medicīnisku kontrindikāciju</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</si>
  <si>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</si>
  <si>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</si>
  <si>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Latvijas robežās</t>
    </r>
  </si>
  <si>
    <t>NMP ārsts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</si>
  <si>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ārpus Latvijas robežām</t>
    </r>
  </si>
  <si>
    <t>Biroja preces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</si>
  <si>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Latvijas robežās</t>
    </r>
  </si>
  <si>
    <t>Plānotais pakalpojuma sniegšanas vienību skaits: 4</t>
  </si>
  <si>
    <t>Ārsts speciālists</t>
  </si>
  <si>
    <t>Ārsts speciālists alga</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</si>
  <si>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</si>
  <si>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</si>
  <si>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</si>
  <si>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ārsta palīga brigādes (divi neatliekamās palīdzības ārsta palīgi,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</si>
  <si>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</si>
  <si>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 brigādes (ārsts speciālists, neatliekamās palīdzības ārsta palīgs, operatīvais medicīniskais transportlīdzeklis un tā vadītājs) izsaukums</t>
    </r>
  </si>
  <si>
    <t>Plānotais pakalpojuma sniegšanas vienību skaits: 5</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</si>
  <si>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</si>
  <si>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Anesteziologa– reanimatologa nodrošināšana, neizmantojot operatīvo medicīnisko transportlīdzekli (izsaukums)</t>
    </r>
  </si>
  <si>
    <t>Ārsta reanimataloga alga</t>
  </si>
  <si>
    <t>Plānotais pakalpojuma sniegšanas vienību skaits: 198</t>
  </si>
  <si>
    <t>Ārsta speciālista alga</t>
  </si>
  <si>
    <t>NMP ārsta alga</t>
  </si>
  <si>
    <t>NMP ārsta palīga alga</t>
  </si>
  <si>
    <t>Plānotais pakalpojuma sniegšanas vienību skaits: 294</t>
  </si>
  <si>
    <t>Plānotais pakalpojuma sniegšanas vienību skaits: 13</t>
  </si>
  <si>
    <t>Plānotais pakalpojuma sniegšanas vienību skaits: 80</t>
  </si>
  <si>
    <t>Plānotais pakalpojuma sniegšanas vienību skaits: 140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</si>
  <si>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Medicīniskās palīdzības sniegšanas vietas (medpunkta) izveidošana un medicīniskās palīdzības nodrošināšana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</si>
  <si>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Operatīvā medicīniskā transportlīdzekļa degvielas izmaksas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</si>
  <si>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(ārsts speciālists, operatīvais medicīniskais transportlīdzeklis un tā vadītājs) izsaukums</t>
    </r>
  </si>
  <si>
    <t>Plānotais pakalpojuma sniegšanas vienību skaits: 206</t>
  </si>
  <si>
    <t>Ārsta specialista alga</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</si>
  <si>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izsaukums, neizmantojot operatīvo medicīnisko transportlīdzekli</t>
    </r>
  </si>
  <si>
    <t>Plānotais pakalpojuma sniegšanas vienību skaits: 270</t>
  </si>
  <si>
    <t>Plānotais pakalpojuma sniegšanas vienību skaits: 8</t>
  </si>
  <si>
    <t>Plānotais pakalpojuma sniegšanas vienību skaits: 12</t>
  </si>
  <si>
    <t>Ārsta/specialista alga</t>
  </si>
  <si>
    <t>Plānotais pakalpojuma sniegšanas vienību skaits: 64</t>
  </si>
  <si>
    <t>Plānotais pakalpojuma sniegšanas vienību skaits: 10</t>
  </si>
  <si>
    <t>EKK 2310</t>
  </si>
  <si>
    <t>Biroja preces un inventārs</t>
  </si>
  <si>
    <t>EKK 2261</t>
  </si>
  <si>
    <t>EKK 2311</t>
  </si>
  <si>
    <t>EKK 2312</t>
  </si>
  <si>
    <t>EKK 5230</t>
  </si>
  <si>
    <t>Plānotais pakalpojuma sniegšanas vienību skaits: 120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</si>
  <si>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Tiesību piešķiršana nodarboties ar apmācību pirmās palīdzības sniegšanā juridiskām personām</t>
    </r>
  </si>
  <si>
    <t>Plānotais pakalpojuma sniegšanas vienību skaits: 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</si>
  <si>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Atkārtota tiesību piešķiršana nodarboties ar apmācību pirmās palīdzības sniegšanā juridiskām personām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</si>
  <si>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Tiesību piešķiršana nodarboties ar apmācību pirmās palīdzības sniegšanā fiziskām personām</t>
    </r>
  </si>
  <si>
    <t>Plānotais pakalpojuma sniegšanas vienību skaits: 11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</si>
  <si>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Atkārtota tiesību piešķiršana nodarboties ar apmācību pirmās palīdzības sniegšanā fiziskām personām</t>
    </r>
  </si>
  <si>
    <t>Plānotais pakalpojuma sniegšanas vienību skaits: 40000</t>
  </si>
  <si>
    <t>Aprīkojuma amortizācija (defibrilatora amortizācija 0,5 eur/h, 0,5 x plānotais pakalpojumu skaits)</t>
  </si>
  <si>
    <t>Atalgojums citi darbinieki (atbalsta personāla atalgojums 0,15% no brigāžu personāla. 0,15 x pakalpojumu skaits gadā)</t>
  </si>
  <si>
    <t>Atalgojums citi darbinieki (atbalsta personāla atalgojums 0,25% no brigāžu personāla. 0,25 x pakalpojumu skaits gadā)</t>
  </si>
  <si>
    <t>Atalgojums citi darbinieki (atbalsta personāla atalgojums 0,1% no brigāžu personāla. 0,1 x pakalpojumu skaits gadā)</t>
  </si>
  <si>
    <t>EKK 2000</t>
  </si>
  <si>
    <t>Atalgojums darbiniekam (stundas likme 1,35 eur)</t>
  </si>
  <si>
    <t>Komunālie pakalpojumi (komunālo pakalpojumu izdevumi gadā / kopējie izsaukumi gadā. 813902/438912 = 1,85 eur x pakalpojuma skaits gadā)</t>
  </si>
  <si>
    <t>Sakaru pakalpojumi (sakaru un telekomunikāciju izdevumi vienam pakalpojumam 4,32 eur x pakalpojuma skaits gadā)</t>
  </si>
  <si>
    <t>Spectērpi (izdevumi spectērpiem gadā / kopējie izsaukumi gadā. 452717/438912 = 1,03 eur x pakalpojuma skaits gadā)</t>
  </si>
  <si>
    <t>EKK 2350</t>
  </si>
  <si>
    <t>EKK 5200</t>
  </si>
  <si>
    <t>Aprīkojuma amortizācija (aprīkojuma amortizājija 1,8 eur/h x plānotais pakalpojumu skaits)</t>
  </si>
  <si>
    <t>EKK 5220</t>
  </si>
  <si>
    <t>Biroja preces (kancelejas preces 11 dalībniekiem. 30/11 = 2,73 eur x pakalpojumu skaits gadā)</t>
  </si>
  <si>
    <t>Pārējie pamatlīdzekļi (amortizācija - dators, portatīvais dators, projektors, TV un DVD, 0,10 eur/st. x pakalpojumu skaits gadā)</t>
  </si>
  <si>
    <t>Biroja preces (kancelejas preces 25 dalībniekiem. 30/25 = 1,20 eur x pakalpojumu skaits gadā)</t>
  </si>
  <si>
    <t>Tehnoloģiskās iekārtas (amortizācija - manekens ar datorpieslēgumu 1 gab. 50 eur, aizrīšanās treniņu manekens 10 eur, bērna manekens 10 eur, zīdaiņa manekens 2 gab., 20 eur. 50+10+10+20 = 90/25 = 3,6 eur x pakalpojumu skaits gadā)</t>
  </si>
  <si>
    <t>Biroja preces (kancelejas preces 12 dalībniekiem. 30/12 = 2,50 eur x pakalpojumu skaits gadā)</t>
  </si>
  <si>
    <t>Pārējie pamatlīdzekļi (amortizācija - dators, portatīvais dators, projektors, TV un DVD, 0,10 eur/st.)</t>
  </si>
  <si>
    <t>Biroja preces (kancelejas preces 13 dalībniekiem. 30/13 = 2,31 eur x pakalpojumu skaits gadā)</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</si>
  <si>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</si>
  <si>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medicīnas (palīdzības) ārsta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</si>
  <si>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Neatliekamās palīdzības ārsta palīga nodrošināšana, neizmantojot operatīvo medicīnisko transportlīdzekli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</si>
  <si>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Operatīvā medicīniskā transportlīdzekļa izmantošana (ar tā vadītāju)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</si>
  <si>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Papildu anesteziologa–reanimatologa piesaistīšana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</si>
  <si>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ārsta speciālista/neatliekamās medicīnas palīdzības ārsta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</si>
  <si>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neatliekamās palīdzības ārsta palīga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</si>
  <si>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operatīvā medicīniskā transportlīdzekļa vadītāja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</si>
  <si>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Ārstniecības personu praktisko iemaņu pilnveide neatliekamās medicīniskās palīdzības sniegšanā un organizēšanā NMP brigādes sastāvā vai Operatīvās vadības centrā (viena persona/stundas)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</si>
  <si>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Prakses nodrošināšana personai, kura apgūst izglītības programmu neatliekamās medicīniskās palīdzības sniegšanā un organizēšanā, sertificēta neatliekamās medicīnas (palīdzības) ārsta vadībā (kontaktstundas)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</si>
  <si>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Prakses nodrošināšana personai, kura apgūst izglītības programmu neatliekamās medicīniskās palīdzības sniegšanā un organizēšanā, sertificēta neatliekamās palīdzības ārsta palīga vadībā (kontaktstundas)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</si>
  <si>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Izziņas sagatavošana privātpersonām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</si>
  <si>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apmācības kurss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</si>
  <si>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(1 diena)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</si>
  <si>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(2 dienas)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</si>
  <si>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Apliecība par pirmās palīdzības apmācības kursu</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</si>
  <si>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Ārsta/NMP dienesta speciālista telefona konsultācija</t>
    </r>
  </si>
  <si>
    <t>Plānotais pakalpojuma sniegšanas vienību skaits: 1121</t>
  </si>
  <si>
    <t>Plānotais pakalpojuma sniegšanas vienību skaits: 109</t>
  </si>
  <si>
    <t>Plānotais pakalpojuma sniegšanas vienību skaits: 97</t>
  </si>
  <si>
    <t>Atalgojums darbiniekam (5% no iesaistītā darbinieka atalgojuma 700 eur x 5%)</t>
  </si>
  <si>
    <t>Plānotais pakalpojuma sniegšanas vienību skaits: 1010</t>
  </si>
  <si>
    <t>Plānotais pakalpojuma sniegšanas vienību skaits: 460</t>
  </si>
  <si>
    <t>Plānotais pakalpojuma sniegšanas vienību skaits: 7</t>
  </si>
  <si>
    <t>Plānotais pakalpojuma sniegšanas vienību skaits: 40</t>
  </si>
  <si>
    <t>Plānotais pakalpojuma sniegšanas vienību skaits: 10624</t>
  </si>
  <si>
    <t>Telpu izmantošana (telpu uzturēšanas izmaksas 10 eur/h. 10 x 4 st. = 40/13 = 3,08 eur x pakalpojumu skaits gadā</t>
  </si>
  <si>
    <t>Telpu izmantošana (telpu uzturēšanas izmaksas 10 eur/h. 10 x 8 st. = 80/13 = 6,15 eur x pakalpojumu skaits gadā</t>
  </si>
  <si>
    <t>Telpu izmantošana (telpu uzturēšanas izmaksas 10 eur/h., 2 st., 10 x 2 = 20,00 eur)</t>
  </si>
  <si>
    <t>Telpu izmantošana (telpu uzturēšanas izmaksas 10 eur/h., 4 st., 10 x 4 = 40,00 eur)</t>
  </si>
  <si>
    <t>Telpu izmantošana (telpu uzturēšanas izmaksas 10 eur/h. 10 x 16 st. = 160/12 = 13,33 eur x pakalpojumu skaits gadā</t>
  </si>
  <si>
    <t>Telpu izmantošana (telpu uzturēšanas izmaksas 10 eur/h. 10 x 10 st. = 80/25 = 3,2 eur x pakalpojumu skaits gadā</t>
  </si>
  <si>
    <t>Telpu izmantošana (telpu uzturēšanas izmaksas 10 eur/h. 10 x 68 st. = 680/11 = 61,82 eur x pakalpojumu skaits gadā</t>
  </si>
  <si>
    <t>Administratīvie izdevumi  (kafijas pauze 11 dalībniekiem, 3 pasniedzējiem, 16 reizes. 2,5 eur x 14 x 16 = 560/11 = 50,91 eur x pakalpojumu skaits gadā</t>
  </si>
  <si>
    <t>Inventārs (paklāji treniņiem 4.gab 8 eur, elpināšanas masku komplekts 15 eur, aptieciņas 2 gab. 30 eur, motocikla ķivere 1 gab. 25 eur, dezinfekcijas līdzekļi 50 eur. 8+15+30+25+50 = 128/11 = 11,64 eur x pakalpojumu skaits gadā)</t>
  </si>
  <si>
    <t>Atalgojums pasniedzējam (20 eur/st., ilgums 8 st., 25 dalībnieki. 20 x 8/25 = 6,40 eur x pakalpojumu skaits gadā)</t>
  </si>
  <si>
    <t>Atalgojums kursa vadītājam (20 eur/st., ilgums 8 st., 25 dalībnieki. 20 x 8/25 = 6,40 eur x pakalpojumu skaits gadā)</t>
  </si>
  <si>
    <t>Atalgojums pasniedzējam par mācību materiālu sagatavošanu  (20 eur/st., ilgums 8 st., 25 dalībnieki. 20 x 8/25 = 6,40 x pakalpojumu skaits gadā)</t>
  </si>
  <si>
    <t>Administratīvie izdevumi  (kafijas pauze 25 dalībniekiem, 3 pasniedzējiem, 2 reizes. 2,5 eur x 28 x 2 = 140/25 = 5,60 eur x pakalpojumu skaits gadā)</t>
  </si>
  <si>
    <t>Atalgojums pasniedzējam (20 eur/st., ilgums 16 st., 12 dalībnieki. 20 x 16/12 = 26,67 x pakalpojumu skaits gadā)</t>
  </si>
  <si>
    <t>Atalgojums pasniedzējam par mācību materiālu sagatavošanu  (20 eur/st., ilgums 10 st., 12 dalībnieki. 20 x 10/12 =16,67 x pakalpojumu skaits gadā)</t>
  </si>
  <si>
    <t>Administratīvie izdevumi  (kafijas pauze 12 dalībniekiem, 3 pasniedzējiem, 4 reizes. 2,5 eur x 15 x 4 = 150/12 = 12,50 eur x pakalpojumu skaits gadā</t>
  </si>
  <si>
    <t>Tehnoloģiskās iekārtas (amortizācija - manekens ar datorpieslēgumu 1 gab. 50 eur, bērna manekens 10 eur, zīdaiņa manekens 2 gab., 20 eur. 50+10+20 = 80/12 = 6,67 eur x pakalpojumu skaits gadā)</t>
  </si>
  <si>
    <t>Atalgojums komisijas locekļiem (20 eur/st., 10 komisijas locekļi, ilgums 4 st., 20 x 10 x 4 = 800,00 eur)</t>
  </si>
  <si>
    <r>
      <t>Atalgojums komisijas locekļiem (20</t>
    </r>
    <r>
      <rPr>
        <sz val="12"/>
        <color rgb="FFFF0000"/>
        <rFont val="Times New Roman"/>
        <family val="1"/>
        <charset val="186"/>
      </rPr>
      <t xml:space="preserve"> </t>
    </r>
    <r>
      <rPr>
        <sz val="12"/>
        <rFont val="Times New Roman"/>
        <family val="1"/>
        <charset val="186"/>
      </rPr>
      <t>eur/st., 10 komisijas locekļi, ilgums 2 st.  20 x 10 x 2 = 400,00)</t>
    </r>
  </si>
  <si>
    <t>Atalgojums komisijas locekļiem (20 eur/st., 10 komisijas locekļi, ilgums 8 st., 13 dalībnieki, 20 x 10 x 8 = 1200,00/13 = 123,08  x pakalpojumu skaits gadā)</t>
  </si>
  <si>
    <t>Administratīvie izdevumi  (kafijas pauze 13 dalībniekiem, 10 komisijas locekļi,  2 reizes. 2,5 eur x 23 x 2 = 115/13 = 8,85 eur x pakalpojumu skaits gadā</t>
  </si>
  <si>
    <t>Tehnoloģiskās iekārtas (amortizācija - manekens ar datorpieslēgumu 1 gab. 50 eur, manekena plauša 16 eur, aizrīšanās treniņu manekens 10 eur, pusaudža manekens 10 eur, zīdaiņa manekens 2 gab., 20 eur. 50+16+10+10+20 = 106/13 = 8,15 eur x pakalpojumu skaits gadā)</t>
  </si>
  <si>
    <t>Atalgojums komisijas locekļiem (20 eur/st., 10 komisijas locekļi, ilgums 4 st., 13 dalībnieki. 20 x 10 x 4 = 800/13 = 61,54 eur x pakalpojumu skaits gadā)</t>
  </si>
  <si>
    <t>Atalgojums pasniedzējam par eksāmena materiālu sagatavošanu   (20 eur/st., ilgums 4 st. 20 x 4 = 80,00/13 = 6,15 eur x pakalpojumu skaits gadā)</t>
  </si>
  <si>
    <t>Administratīvie izdevumi  (kafijas pauze 13 dalībniekiem, 10 komisijas locekļi, 1 reize. 2,50 eur x 23 x 1 = 57,5/13 = 4,42 eur x pakalpojumu skaits gadā</t>
  </si>
  <si>
    <t>Inventārs (paklāji treniņiem 6.gab 12 eur, pārsienamais materiāls 30 eur, motociklista ķivere 1 gab. 25 eur, elpināšanas masku komplekts 5 eur, aptieciņas 2 gab. 30 eur, dezinfekcijas līdzekļi 10 eur. 12+30+25+5+30+10 = 112/13 = 8,62 eur x pakalpojumu skaits gadā)</t>
  </si>
  <si>
    <r>
      <t>Atalgojums pasniedzējam (20</t>
    </r>
    <r>
      <rPr>
        <sz val="12"/>
        <color rgb="FFFF0000"/>
        <rFont val="Times New Roman"/>
        <family val="1"/>
        <charset val="186"/>
      </rPr>
      <t xml:space="preserve"> </t>
    </r>
    <r>
      <rPr>
        <sz val="12"/>
        <rFont val="Times New Roman"/>
        <family val="1"/>
        <charset val="186"/>
      </rPr>
      <t>eur/st., ilgums 68 st., 11 dalībnieki. 20 x 68/11 = 123,64 x pakalpojumu skaits gadā)</t>
    </r>
  </si>
  <si>
    <r>
      <t>Atalgojums pasniedzēja asistentam (14</t>
    </r>
    <r>
      <rPr>
        <sz val="12"/>
        <color rgb="FFFF0000"/>
        <rFont val="Times New Roman"/>
        <family val="1"/>
        <charset val="186"/>
      </rPr>
      <t xml:space="preserve"> </t>
    </r>
    <r>
      <rPr>
        <sz val="12"/>
        <rFont val="Times New Roman"/>
        <family val="1"/>
        <charset val="186"/>
      </rPr>
      <t>eur/st., ilgums 68 st., 11 dalībnieki. 14 x 68/11 = 86,55 x pakalpojumu skaits gadā)</t>
    </r>
  </si>
  <si>
    <t>Atalgojums pasniedzējam par mācību materiālu sagatavošanu  (20 eur/st., ilgums 10 st, 11 dalībnieki. 20 x 10/11 = 18,18 x pakalpojumu skaits gadā)</t>
  </si>
  <si>
    <t>Atalgojums pasniedzēja asistentam (14 eur/st., ilgums 16 st., 12 dalībnieki. 14 x 16/12 = 18,67 x pakalpojumu skaits gadā)</t>
  </si>
  <si>
    <t>Inventārs (paklāji treniņiem 6.gab 12 eur, pārsienamais materiāls 30 eur, motociklista ķivere 1 gab. 25 eur, elpināšanas masku komplekts 5 eur, aptieciņas 2 gab. 30 eur, dezinfekcijas līdzekļi 20 eur. 12+30+25+5+30+20 = 122/12 = 10,17 eur x pakalpojumu skaits gadā)</t>
  </si>
  <si>
    <t>Atalgojums pasniedzējam par eksāmena materiālu sagatavošanu   (20 eur/st., ilgums 4 st. 20 x 4 = 80,00/13 = 6,15  x pakalpojumu skaits gadā)</t>
  </si>
  <si>
    <t>Piezīmes.</t>
  </si>
  <si>
    <r>
      <rPr>
        <vertAlign val="superscript"/>
        <sz val="10"/>
        <color theme="1"/>
        <rFont val="Times New Roman"/>
        <family val="1"/>
        <charset val="186"/>
      </rPr>
      <t>1</t>
    </r>
    <r>
      <rPr>
        <sz val="10"/>
        <color theme="1"/>
        <rFont val="Times New Roman"/>
        <family val="1"/>
        <charset val="186"/>
      </rPr>
      <t> Pievienotās vērtības nodokli nepiemēro saskaņā ar Pievienotās vērtības nodokļa likuma 52. panta pirmās daļas 3. punkta "a" apakšpunktu.</t>
    </r>
  </si>
  <si>
    <r>
      <rPr>
        <vertAlign val="superscript"/>
        <sz val="10"/>
        <color theme="1"/>
        <rFont val="Times New Roman"/>
        <family val="1"/>
        <charset val="186"/>
      </rPr>
      <t>2</t>
    </r>
    <r>
      <rPr>
        <sz val="10"/>
        <color theme="1"/>
        <rFont val="Times New Roman"/>
        <family val="1"/>
        <charset val="186"/>
      </rPr>
      <t> Izsaukums, kas atbilstoši normatīvajiem aktiem par veselības aprūpes pakalpojumu organizēšanas un samaksas kārtību nav uzskatāms par neatliekamu.</t>
    </r>
  </si>
  <si>
    <r>
      <rPr>
        <vertAlign val="superscript"/>
        <sz val="10"/>
        <color theme="1"/>
        <rFont val="Times New Roman"/>
        <family val="1"/>
        <charset val="186"/>
      </rPr>
      <t>4</t>
    </r>
    <r>
      <rPr>
        <sz val="10"/>
        <color theme="1"/>
        <rFont val="Times New Roman"/>
        <family val="1"/>
        <charset val="186"/>
      </rPr>
      <t> Piemēro gadījumos, ja Neatliekamās medicīniskās palīdzības dienestam radušies zaudējumi saistībā ar Neatliekamās medicīniskās palīdzības dienesta brigādes izsaukumu pēc citu operatīvo dienestu vai personas pieprasījuma vai pēc dežūras pie potenciāli bīstama objekta laikā, kad notikusi apzināta operatīvo dienestu maldināšana vai tīši izraisīts apdraudējums.</t>
    </r>
  </si>
  <si>
    <r>
      <rPr>
        <vertAlign val="superscript"/>
        <sz val="10"/>
        <color theme="1"/>
        <rFont val="Times New Roman"/>
        <family val="1"/>
        <charset val="186"/>
      </rPr>
      <t>5</t>
    </r>
    <r>
      <rPr>
        <sz val="10"/>
        <color theme="1"/>
        <rFont val="Times New Roman"/>
        <family val="1"/>
        <charset val="186"/>
      </rPr>
      <t> Ja pakalpojums ilgst mazāk par vienu stundu, piemēro vienas stundas cenu.</t>
    </r>
  </si>
  <si>
    <r>
      <rPr>
        <vertAlign val="superscript"/>
        <sz val="10"/>
        <color theme="1"/>
        <rFont val="Times New Roman"/>
        <family val="1"/>
        <charset val="186"/>
      </rPr>
      <t>6</t>
    </r>
    <r>
      <rPr>
        <sz val="10"/>
        <color theme="1"/>
        <rFont val="Times New Roman"/>
        <family val="1"/>
        <charset val="186"/>
      </rPr>
      <t> Neatliekamās medicīniskās palīdzības ārsta palīga brigādē ir divi neatliekamās medicīniskās palīdzības ārsta palīgi, operatīvais medicīniskais transportlīdzeklis un tā vadītājs.</t>
    </r>
  </si>
  <si>
    <r>
      <rPr>
        <vertAlign val="superscript"/>
        <sz val="10"/>
        <color theme="1"/>
        <rFont val="Times New Roman"/>
        <family val="1"/>
        <charset val="186"/>
      </rPr>
      <t>7 </t>
    </r>
    <r>
      <rPr>
        <sz val="10"/>
        <color theme="1"/>
        <rFont val="Times New Roman"/>
        <family val="1"/>
        <charset val="186"/>
      </rPr>
      <t>Papildus piemēro izdevumus, kas atlīdzināmi atbilstoši normatīvajiem aktiem, kas nosaka ar komandējumu saistīto izdevumu atlīdzināšanu (piemēram, personāla apdrošināšanas, dienas naudas, naktsmītnes, maksas ceļu un sabiedriskā transporta izmantošanas izdevumi).</t>
    </r>
  </si>
  <si>
    <r>
      <rPr>
        <vertAlign val="superscript"/>
        <sz val="10"/>
        <color theme="1"/>
        <rFont val="Times New Roman"/>
        <family val="1"/>
        <charset val="186"/>
      </rPr>
      <t>8</t>
    </r>
    <r>
      <rPr>
        <sz val="10"/>
        <color theme="1"/>
        <rFont val="Times New Roman"/>
        <family val="1"/>
        <charset val="186"/>
      </rPr>
      <t> Intensīvās terapijas/neatliekamās medicīniskās palīdzības ārsta brigādē ir neatliekamās medicīniskās palīdzības ārsts, neatliekamās medicīniskās palīdzības ārsta palīgs, operatīvais medicīniskais transportlīdzeklis un tā vadītājs.</t>
    </r>
  </si>
  <si>
    <r>
      <rPr>
        <vertAlign val="superscript"/>
        <sz val="10"/>
        <color theme="1"/>
        <rFont val="Times New Roman"/>
        <family val="1"/>
        <charset val="186"/>
      </rPr>
      <t>9 </t>
    </r>
    <r>
      <rPr>
        <sz val="10"/>
        <color theme="1"/>
        <rFont val="Times New Roman"/>
        <family val="1"/>
        <charset val="186"/>
      </rPr>
      <t>Specializētajā brigādē ir ārsts speciālists, neatliekamās medicīniskās palīdzības ārsta palīgs, operatīvais medicīniskais transportlīdzeklis un tā vadītājs.</t>
    </r>
  </si>
  <si>
    <r>
      <rPr>
        <vertAlign val="superscript"/>
        <sz val="10"/>
        <color theme="1"/>
        <rFont val="Times New Roman"/>
        <family val="1"/>
        <charset val="186"/>
      </rPr>
      <t>10</t>
    </r>
    <r>
      <rPr>
        <sz val="10"/>
        <color theme="1"/>
        <rFont val="Times New Roman"/>
        <family val="1"/>
        <charset val="186"/>
      </rPr>
      <t> Reanimācijas brigādē ir anesteziologs–reanimatologs, neatliekamās medicīniskās palīdzības ārsta palīgs, operatīvais medicīniskais transportlīdzeklis un tā vadītājs.</t>
    </r>
  </si>
  <si>
    <r>
      <rPr>
        <vertAlign val="superscript"/>
        <sz val="10"/>
        <color theme="1"/>
        <rFont val="Times New Roman"/>
        <family val="1"/>
        <charset val="186"/>
      </rPr>
      <t>11 </t>
    </r>
    <r>
      <rPr>
        <sz val="10"/>
        <color theme="1"/>
        <rFont val="Times New Roman"/>
        <family val="1"/>
        <charset val="186"/>
      </rPr>
      <t>Ja pakalpojums ilgst trīs stundas un ilgāk, piemēro koeficentu 0,85.</t>
    </r>
  </si>
  <si>
    <r>
      <t>Neatliekamās medicīniskās palīdzības dienesta brigādes izsaukums pie privātpersonas (pacienta)</t>
    </r>
    <r>
      <rPr>
        <b/>
        <vertAlign val="superscript"/>
        <sz val="12"/>
        <rFont val="Times New Roman"/>
        <family val="1"/>
        <charset val="186"/>
      </rPr>
      <t>1</t>
    </r>
  </si>
  <si>
    <r>
      <t>neatliekamās medicīniskās palīdzības brigādes izsaukums pie personas medicīniskās palīdzības sniegšanai, kas nav uzskatāma par neatliekamu</t>
    </r>
    <r>
      <rPr>
        <vertAlign val="superscript"/>
        <sz val="14"/>
        <color theme="1"/>
        <rFont val="Times New Roman"/>
        <family val="1"/>
        <charset val="186"/>
      </rPr>
      <t>2</t>
    </r>
  </si>
  <si>
    <r>
      <t>neatliekamās medicīniskās palīdzības brigādes izsaukums pie personas, kura nesaņem no valsts budžeta apmaksātus veselības aprūpes pakalpojumus, neatliekamās medicīniskās palīdzības sniegšanai</t>
    </r>
    <r>
      <rPr>
        <vertAlign val="superscript"/>
        <sz val="12"/>
        <rFont val="Times New Roman"/>
        <family val="1"/>
        <charset val="186"/>
      </rPr>
      <t>3, 4</t>
    </r>
  </si>
  <si>
    <t>pacienta transportēšana uz nākamo tuvāko stacionāru atbilstošas neatliekamās medicīniskās palīdzības sniegšanai pēc pacienta pieprasījuma, ja pacientam nav medicīnisku kontrindikāciju</t>
  </si>
  <si>
    <r>
      <t>Medicīniskā transportēšana (plānveida)</t>
    </r>
    <r>
      <rPr>
        <b/>
        <vertAlign val="superscript"/>
        <sz val="12"/>
        <rFont val="Times New Roman"/>
        <family val="1"/>
        <charset val="186"/>
      </rPr>
      <t>1,2,5</t>
    </r>
  </si>
  <si>
    <r>
      <t>neatliekamās medicīniskās palīdzības ārsta palīga brigādes</t>
    </r>
    <r>
      <rPr>
        <vertAlign val="superscript"/>
        <sz val="12"/>
        <rFont val="Times New Roman"/>
        <family val="1"/>
        <charset val="186"/>
      </rPr>
      <t>6</t>
    </r>
    <r>
      <rPr>
        <sz val="12"/>
        <rFont val="Times New Roman"/>
        <family val="1"/>
        <charset val="186"/>
      </rPr>
      <t xml:space="preserve"> izsaukums Latvijas robežās</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</si>
  <si>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 Latvijas robežās</t>
    </r>
  </si>
  <si>
    <r>
      <t>specializētās brigādes</t>
    </r>
    <r>
      <rPr>
        <vertAlign val="superscript"/>
        <sz val="12"/>
        <rFont val="Times New Roman"/>
        <family val="1"/>
        <charset val="186"/>
      </rPr>
      <t>9</t>
    </r>
    <r>
      <rPr>
        <sz val="12"/>
        <rFont val="Times New Roman"/>
        <family val="1"/>
        <charset val="186"/>
      </rPr>
      <t xml:space="preserve"> izsaukums Latvijas robežās</t>
    </r>
  </si>
  <si>
    <r>
      <t>reanimācijas brigādes</t>
    </r>
    <r>
      <rPr>
        <vertAlign val="superscript"/>
        <sz val="12"/>
        <rFont val="Times New Roman"/>
        <family val="1"/>
        <charset val="186"/>
      </rPr>
      <t>10</t>
    </r>
    <r>
      <rPr>
        <sz val="12"/>
        <rFont val="Times New Roman"/>
        <family val="1"/>
        <charset val="186"/>
      </rPr>
      <t xml:space="preserve"> izsaukums Latvijas robežās</t>
    </r>
  </si>
  <si>
    <r>
      <t>neatliekamās medicīniskās palīdzības ārsta palīga brigādes</t>
    </r>
    <r>
      <rPr>
        <vertAlign val="superscript"/>
        <sz val="12"/>
        <rFont val="Times New Roman"/>
        <family val="1"/>
        <charset val="186"/>
      </rPr>
      <t>6</t>
    </r>
    <r>
      <rPr>
        <sz val="12"/>
        <rFont val="Times New Roman"/>
        <family val="1"/>
        <charset val="186"/>
      </rPr>
      <t xml:space="preserve"> izsaukums</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</si>
  <si>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t>
    </r>
  </si>
  <si>
    <r>
      <t>specializētās brigādes</t>
    </r>
    <r>
      <rPr>
        <vertAlign val="superscript"/>
        <sz val="12"/>
        <rFont val="Times New Roman"/>
        <family val="1"/>
        <charset val="186"/>
      </rPr>
      <t>9</t>
    </r>
    <r>
      <rPr>
        <sz val="12"/>
        <rFont val="Times New Roman"/>
        <family val="1"/>
        <charset val="186"/>
      </rPr>
      <t xml:space="preserve"> izsaukums</t>
    </r>
  </si>
  <si>
    <r>
      <t>reanimācijas brigādes</t>
    </r>
    <r>
      <rPr>
        <vertAlign val="superscript"/>
        <sz val="12"/>
        <rFont val="Times New Roman"/>
        <family val="1"/>
        <charset val="186"/>
      </rPr>
      <t>10</t>
    </r>
    <r>
      <rPr>
        <sz val="12"/>
        <rFont val="Times New Roman"/>
        <family val="1"/>
        <charset val="186"/>
      </rPr>
      <t xml:space="preserve"> izsaukums</t>
    </r>
  </si>
  <si>
    <r>
      <t>Papildu piesaistāmie resursi</t>
    </r>
    <r>
      <rPr>
        <b/>
        <vertAlign val="superscript"/>
        <sz val="12"/>
        <rFont val="Times New Roman"/>
        <family val="1"/>
        <charset val="186"/>
      </rPr>
      <t>1</t>
    </r>
  </si>
  <si>
    <r>
      <t>papildu ārsta speciālista/neatliekamās medicīniskās palīdzības ārsta piesaistīšana (izsaukums)</t>
    </r>
    <r>
      <rPr>
        <vertAlign val="superscript"/>
        <sz val="14"/>
        <color theme="1"/>
        <rFont val="Times New Roman"/>
        <family val="1"/>
        <charset val="186"/>
      </rPr>
      <t>5, 7</t>
    </r>
  </si>
  <si>
    <r>
      <t>papildu neatliekamās medicīniskās palīdzības ārsta palīga piesaistīšana (izsaukums)</t>
    </r>
    <r>
      <rPr>
        <vertAlign val="superscript"/>
        <sz val="14"/>
        <color theme="1"/>
        <rFont val="Times New Roman"/>
        <family val="1"/>
        <charset val="186"/>
      </rPr>
      <t>5, 7</t>
    </r>
  </si>
  <si>
    <r>
      <t>medicīniskās palīdzības sniegšanas vietas (medpunkta) izveidošana un medicīniskās palīdzības nodrošināšana</t>
    </r>
    <r>
      <rPr>
        <vertAlign val="superscript"/>
        <sz val="14"/>
        <color theme="1"/>
        <rFont val="Times New Roman"/>
        <family val="1"/>
        <charset val="186"/>
      </rPr>
      <t>5</t>
    </r>
  </si>
  <si>
    <r>
      <t>Konsultācijas</t>
    </r>
    <r>
      <rPr>
        <b/>
        <vertAlign val="superscript"/>
        <sz val="12"/>
        <rFont val="Times New Roman"/>
        <family val="1"/>
        <charset val="186"/>
      </rPr>
      <t>1</t>
    </r>
  </si>
  <si>
    <t>ārstniecības personu praktisko iemaņu pilnveide neatliekamās medicīniskās palīdzības sniegšanā un organizēšanā Neatliekamās medicīniskās palīdzības dienesta brigādes sastāvā vai Operatīvās vadības centrā (viena persona/stundas)</t>
  </si>
  <si>
    <t>prakses nodrošināšana personai, kura apgūst izglītības programmu neatliekamās medicīniskās palīdzības sniegšanā un organizēšanā, sertificēta neatliekamās medicīniskās palīdzības ārsta vadībā (kontaktstundas)</t>
  </si>
  <si>
    <t>prakses nodrošināšana personai, kura apgūst izglītības programmu neatliekamās medicīniskās palīdzības sniegšanā un organizēšanā, sertificēta neatliekamās medicīniskās palīdzības ārsta palīga vadībā (kontaktstundas)</t>
  </si>
  <si>
    <t>izziņas sagatavošana privātpersonām</t>
  </si>
  <si>
    <t>pirmās palīdzības pasniedzēju apmācības kurss</t>
  </si>
  <si>
    <t>pirmās palīdzības pasniedzēju kvalifikācijas paaugstināšanas seminārs (1 diena)</t>
  </si>
  <si>
    <t>pirmās palīdzības pasniedzēju kvalifikācijas paaugstināšanas seminārs (2 dienas)</t>
  </si>
  <si>
    <t>apmācītājorganizācijas novērtēšana par atbilstību prasībām, lai nodarbotos ar apmācību pirmās palīdzības sniegšanā</t>
  </si>
  <si>
    <t>atkārtota apmācītājorganizācijas novērtēšana par atbilstību prasībām, lai nodarbotos ar apmācību pirmās palīdzības sniegšanā</t>
  </si>
  <si>
    <t>tiesību piešķiršana nodarboties ar apmācību pirmās palīdzības sniegšanā fiziskām personām</t>
  </si>
  <si>
    <t xml:space="preserve">atkārtota tiesību piešķiršana nodarboties ar apmācību pirmās palīdzības sniegšanā fiziskām personām </t>
  </si>
  <si>
    <t>apliecība par pirmās palīdzības apmācības kursu</t>
  </si>
  <si>
    <t xml:space="preserve"> izsaukums</t>
  </si>
  <si>
    <t>stunda</t>
  </si>
  <si>
    <t xml:space="preserve"> kilometrs</t>
  </si>
  <si>
    <t>epizode</t>
  </si>
  <si>
    <t>izziņa</t>
  </si>
  <si>
    <t>persona</t>
  </si>
  <si>
    <r>
      <t>papildu anesteziologa–reanimatologa piesaistīšana (izsaukums)</t>
    </r>
    <r>
      <rPr>
        <vertAlign val="superscript"/>
        <sz val="12"/>
        <rFont val="Times New Roman"/>
        <family val="1"/>
        <charset val="186"/>
      </rPr>
      <t>5, 7</t>
    </r>
  </si>
  <si>
    <r>
      <t>operatīvā medicīniskā transportlīdzekļa degvielas izmaksas</t>
    </r>
    <r>
      <rPr>
        <vertAlign val="superscript"/>
        <sz val="14"/>
        <color theme="1"/>
        <rFont val="Times New Roman"/>
        <family val="1"/>
        <charset val="186"/>
      </rPr>
      <t>12</t>
    </r>
  </si>
  <si>
    <r>
      <t>reanimācijas brigādes</t>
    </r>
    <r>
      <rPr>
        <vertAlign val="superscript"/>
        <sz val="14"/>
        <color theme="1"/>
        <rFont val="Times New Roman"/>
        <family val="1"/>
        <charset val="186"/>
      </rPr>
      <t>10</t>
    </r>
    <r>
      <rPr>
        <sz val="14"/>
        <color theme="1"/>
        <rFont val="Times New Roman"/>
        <family val="1"/>
        <charset val="186"/>
      </rPr>
      <t xml:space="preserve"> </t>
    </r>
    <r>
      <rPr>
        <sz val="12"/>
        <color theme="1"/>
        <rFont val="Times New Roman"/>
        <family val="1"/>
        <charset val="186"/>
      </rPr>
      <t>izsaukums</t>
    </r>
    <r>
      <rPr>
        <vertAlign val="superscript"/>
        <sz val="14"/>
        <color theme="1"/>
        <rFont val="Times New Roman"/>
        <family val="1"/>
        <charset val="186"/>
      </rPr>
      <t>5,13</t>
    </r>
  </si>
  <si>
    <r>
      <t>intensīvās terapijas/neatliekamās medicīniskās palīdzības ārsta brigādes</t>
    </r>
    <r>
      <rPr>
        <vertAlign val="superscript"/>
        <sz val="14"/>
        <color theme="1"/>
        <rFont val="Times New Roman"/>
        <family val="1"/>
        <charset val="186"/>
      </rPr>
      <t>8</t>
    </r>
    <r>
      <rPr>
        <sz val="14"/>
        <color theme="1"/>
        <rFont val="Times New Roman"/>
        <family val="1"/>
        <charset val="186"/>
      </rPr>
      <t xml:space="preserve"> </t>
    </r>
    <r>
      <rPr>
        <sz val="12"/>
        <color theme="1"/>
        <rFont val="Times New Roman"/>
        <family val="1"/>
        <charset val="186"/>
      </rPr>
      <t>izsaukums</t>
    </r>
    <r>
      <rPr>
        <vertAlign val="superscript"/>
        <sz val="14"/>
        <color theme="1"/>
        <rFont val="Times New Roman"/>
        <family val="1"/>
        <charset val="186"/>
      </rPr>
      <t xml:space="preserve">5,  </t>
    </r>
    <r>
      <rPr>
        <vertAlign val="superscript"/>
        <sz val="14"/>
        <color theme="1"/>
        <rFont val="Times New Roman"/>
        <family val="1"/>
        <charset val="186"/>
      </rPr>
      <t>13</t>
    </r>
  </si>
  <si>
    <r>
      <t>ārsta/Neatliekamās medicīniskās palīdzības dienesta speciālista telefona konsultācija</t>
    </r>
    <r>
      <rPr>
        <vertAlign val="superscript"/>
        <sz val="14"/>
        <color theme="1"/>
        <rFont val="Times New Roman"/>
        <family val="1"/>
        <charset val="186"/>
      </rPr>
      <t>12</t>
    </r>
  </si>
  <si>
    <r>
      <t>Apmācības un izziņu sagatavošana</t>
    </r>
    <r>
      <rPr>
        <b/>
        <vertAlign val="superscript"/>
        <sz val="12"/>
        <rFont val="Times New Roman"/>
        <family val="1"/>
        <charset val="186"/>
      </rPr>
      <t>15</t>
    </r>
  </si>
  <si>
    <t>apliecība</t>
  </si>
  <si>
    <r>
      <rPr>
        <vertAlign val="superscript"/>
        <sz val="10"/>
        <color theme="1"/>
        <rFont val="Times New Roman"/>
        <family val="1"/>
        <charset val="186"/>
      </rPr>
      <t>12 </t>
    </r>
    <r>
      <rPr>
        <sz val="10"/>
        <color theme="1"/>
        <rFont val="Times New Roman"/>
        <family val="1"/>
        <charset val="186"/>
      </rPr>
      <t>Piemēro, ja pacients tiek pārvests uz citu valsti vai no tās.</t>
    </r>
  </si>
  <si>
    <r>
      <rPr>
        <vertAlign val="superscript"/>
        <sz val="10"/>
        <color theme="1"/>
        <rFont val="Times New Roman"/>
        <family val="1"/>
        <charset val="186"/>
      </rPr>
      <t xml:space="preserve">13 </t>
    </r>
    <r>
      <rPr>
        <sz val="10"/>
        <color theme="1"/>
        <rFont val="Times New Roman"/>
        <family val="1"/>
        <charset val="186"/>
      </rPr>
      <t>Piemēro, ja pakalpojumu sniedz stacionārā ārstniecības iestādē pēc pacienta vai pacienta pārstāvja pieprasījuma vai stacionārās ārstniecības iestādes ārsta pieprasījuma gadījumos, ja stacionārā ārstniecības iestāde pakalpojumu ikdienā nodrošina ar saviem resursiem.</t>
    </r>
  </si>
  <si>
    <r>
      <rPr>
        <vertAlign val="superscript"/>
        <sz val="10"/>
        <color theme="1"/>
        <rFont val="Times New Roman"/>
        <family val="1"/>
        <charset val="186"/>
      </rPr>
      <t>14</t>
    </r>
    <r>
      <rPr>
        <sz val="10"/>
        <color theme="1"/>
        <rFont val="Times New Roman"/>
        <family val="1"/>
        <charset val="186"/>
      </rPr>
      <t xml:space="preserve"> Pakalpojuma nodrošināšanā piedalās ārsts speciālists un tiek izmantots operatīvais medicīniskais transportlīdzeklis ar vadītāju. </t>
    </r>
  </si>
  <si>
    <r>
      <rPr>
        <vertAlign val="superscript"/>
        <sz val="10"/>
        <color theme="1"/>
        <rFont val="Times New Roman"/>
        <family val="1"/>
        <charset val="186"/>
      </rPr>
      <t>15 </t>
    </r>
    <r>
      <rPr>
        <sz val="10"/>
        <color theme="1"/>
        <rFont val="Times New Roman"/>
        <family val="1"/>
        <charset val="186"/>
      </rPr>
      <t>Pievienotās vērtības nodokli nepiemēro saskaņā ar Pievienotās vērtības nodokļa likuma 3. panta astoto daļu.</t>
    </r>
  </si>
  <si>
    <t>Plānotais pakalpojuma sniegšanas vienību skaits: 60</t>
  </si>
  <si>
    <t>Plānotais pakalpojuma sniegšanas vienību skaits: 121</t>
  </si>
  <si>
    <t>Ārsta palīga/ārsta reanimatologa alga (vidējā ārsta palīga un ārsta reanimatologa likme, (14,78 euro + 8,98 euro)/2 = 11,88 euro</t>
  </si>
  <si>
    <t>Sakaru pakalpojumi (sakaru un telekomunikāciju izdevumi gadā / kopējie izsaukumi gadā. 367899/364914 = 1,01 euro x pakalpojuma skaits gadā)</t>
  </si>
  <si>
    <t>Iestāžu uzturēšana/telpu kārtējais remonts (iestāžu uzturēšanas izdevumi gadā / kopējie izsaukumi gadā. 561364/364914 = 1,54 eur x pakalpojuma skaits gadā)</t>
  </si>
  <si>
    <t>OMT uzturēšana/remonts/apdrošināšana (OMT remonta, apdrošināšanas izdevumi gadā / kopējie izsaukumi gadā. 624380/364914 = 1,71 euro x pakalpojuma skaits gadā)</t>
  </si>
  <si>
    <t>OMT rezerves daļas, iekārtu rezerves daļas (OMT rezerves daļu, iekārtu rezerves daļu izdevumi gadā / kopējie izsaukumi gadā. 500471/364914 = 1,37 euro x pakalpojuma skaits gadā)</t>
  </si>
  <si>
    <t>Degviela  (vidējais nobraukums vienā izsaukumā 34 km, degvielas patēriņš 15l/100 km, cena 1,06 eur/l. 15/100 x 34 x 1,06 = 5,41 x plānotais pakalpojumu skaits)</t>
  </si>
  <si>
    <t>Zāles, medicīniskie materiāli (medikamentu izdevumi gadā / kopējie izsaukumi gadā. 596554/364914 = 1,63 + 6,91 euro x pakalpojuma skaits gadā)</t>
  </si>
  <si>
    <t>Spectērpi (izdevumi spectērpiem gadā / kopējie izsaukumi gadā. 452717/364914 = 1,24 euro x pakalpojuma skaits gadā)</t>
  </si>
  <si>
    <t>Degviela  (vidējais nobraukums vienā izsaukumā 34 km, degvielas patēriņš 15l/100 km, cena 1,06 euro/l. 15/100 x 34 x 1,06 = 5,41 x plānotais pakalpojumu skaits)</t>
  </si>
  <si>
    <t>Komandējumi, mācību braucieni (komandējumu izdevumi gadā / kopējie izsaukumi gadā. 39708/364914 = 0,11 euro x pakalpojuma skaits gadā)</t>
  </si>
  <si>
    <t>Komunālie pakalpojumi (komunālo pakalpojumu izdevumi gadā / kopējie izsaukumi gadā. 813902/364914 = 2,23 euro x pakalpojuma skaits gadā)</t>
  </si>
  <si>
    <t>Administratīvie izdevumi (administratīvie izdevumi gadā / kopējie izsaukumi gadā. 234731/364914 = 0,64 euro x pakalpojuma skaits gadā)</t>
  </si>
  <si>
    <t>IT pakalpojumi (IT sistēmu uzturēšanas izdevumi gadā / kopējie izsaukumi gadā. 627676/364914 = 1,72 euro x pakalpojuma skaits gadā)</t>
  </si>
  <si>
    <t>Telpu uzturēšanas izmaksas (telpu uzturēšana gadā / kopējie izsaukumi gadā. 286606/364914 = 0,79 euro x pakalpojuma skaits gadā)</t>
  </si>
  <si>
    <t>Izdevumi par precēm iestādes darbības nodrošināšanai, inventārs, biroja preces (inventāra, biroja preču izdevumi gadā / kopējie izsaukumi gadā.157571/364914 = 0,43 euro x pakalpojuma skaits gadā)</t>
  </si>
  <si>
    <t>Nodokļu maksājumi (budžeta iestāžu nodokļu, nodevu un naudas sodu maksājumi gadā / kopējie izsaukumi gadā. 46423/364914 = 0,13 euro x pakalpojuma skaits gadā)</t>
  </si>
  <si>
    <t>OMT vadītāja alga</t>
  </si>
  <si>
    <t>Brigādes otrās ārstniecības personas alga</t>
  </si>
  <si>
    <t>Zāles/medicīniskie materiāli (medikamentu izdevumi gadā / kopējie izsaukumi gadā.596554/364914 = 1,63 + 11,52 euro x pakalpojuma skaits gadā)</t>
  </si>
  <si>
    <t>Administratīvie izdevumi (administratīvie izdevumi gadā / kopējie izsaukumi gadā. 234731/364914= 0,64 euro x pakalpojuma skaits gadā)</t>
  </si>
  <si>
    <t>Iestāžu uzturēšana/telpu kārtējais remonts (iestāžu uzturēšanas izdevumi gadā / kopējie izsaukumi gadā. 561364/364914 = 1,54 euro x pakalpojuma skaits gadā)</t>
  </si>
  <si>
    <t>Telpu uzturēšanas izmaksas (telpu uzturēšanas izmaksas gadā / kopējie izsaukumi gadā. 286606/364914 = 0,79 euro x pakalpojuma skaits gadā)</t>
  </si>
  <si>
    <t>Izdevumi par precēm iestādes darbības nodrošināšanai, inventārs, biroja preces (inventāra, biroja preču izdevumi gadā / kopējie izsaukumi gadā. 157571/364914 = 0,43 euro x pakalpojuma skaits gadā)</t>
  </si>
  <si>
    <t>Zāles,medicīniskie materiāli (medikamentu izdevumi gadā / kopējie izsaukumi gadā. 596554/364914= 1,63 euro x pakalpojuma skaits gadā)</t>
  </si>
  <si>
    <t xml:space="preserve">Citas netiešās izmaksas </t>
  </si>
  <si>
    <t>Zāles, medicīniskie materiāli (medikamentu izdevumi gadā / kopējie izsaukumi gadā. 596554/364914 = 1,63 euro x pakalpojuma skaits gadā)</t>
  </si>
  <si>
    <t>OMT uzturēšana,remonts,apdrošināšana (OMT remonta, apdrošināšanas izdevumi gadā / kopējie izsaukumi gadā. 624380/364914 = 1,71 euro x pakalpojuma skaits gadā)</t>
  </si>
  <si>
    <t>Komandējumi, mācību braucieni (komandējumu izdevumi gadā / kopējie izsaukumi gadā. 39708/364914= 0,11 euro x pakalpojuma skaits gadā)</t>
  </si>
  <si>
    <t>Administratīvie izdevumi (administratīvie izdevumi gadā / kopējie izsaukumi gadā.234731/364914 = 0,64 euro x pakalpojuma skaits gadā)</t>
  </si>
  <si>
    <t>Telpu uzturēšanas izmaksas (telpu uzturēšana  gadā / kopējie izsaukumi gadā. 286606/364914 = 0,79 euro x pakalpojuma skaits gadā)</t>
  </si>
  <si>
    <t>Nodokļu maksājumi (budžeta iestāžu nodokļu, nodevu un naudas sodu maksājumi gadā / kopējie izsaukumi gadā. 46423/364914= 0,13 euro x pakalpojuma skaits gadā)</t>
  </si>
  <si>
    <t>Zāles/medicīniskie materiāli (medikamentu izdevumi gadā / kopējie izsaukumi gadā. 596554/364914 = 1,63 + 6,91 euro x pakalpojuma skaits gadā)</t>
  </si>
  <si>
    <t>Iestāžu uzturēšana/telpu kārtējais remonts (iestāžu uzturēšanas izdevumi gadā / kopējie izsaukumi gadā. 561364/364914= 1,54 euro x pakalpojuma skaits gadā)</t>
  </si>
  <si>
    <t>Izdevumi par precēm iestādes darbības nodrošināšanai, inventārs, biroja preces (inventāra, biroja preču izdevumi gadā / kopējie izsaukumi gadā.157571/364914= 0,43 euro x pakalpojuma skaits gadā)</t>
  </si>
  <si>
    <t>Zāles,medicīniskie materiāli (medikamentu izdevumi gadā / kopējie izsaukumi gadā. 596554/364914 = 1,63 + 6,91 eur x pakalpojuma skaits gadā)</t>
  </si>
  <si>
    <t>IT pakalpojumi (IT sistēmu uzturēšanas izdevumi gadā / kopējie izsaukumi gadā. 627676/364914= 1,72 euro x pakalpojuma skaits gadā)</t>
  </si>
  <si>
    <t>Telpu uzturēšanas izmaksas  (telpu uzturēšanas izmaksas gadā / kopējie izsaukumi gadā. 286606/364914 = 0,79 euro x pakalpojuma skaits gadā)</t>
  </si>
  <si>
    <t>Zāles/medicīniskie materiāli (medikamentu izdevumi gadā / kopējie izsaukumi gadā. 596554/364914= 1,63 + 9,22 eur x pakalpojuma skaits gadā)</t>
  </si>
  <si>
    <t>Spectērpi (izdevumi spectērpiem gadā / kopējie izsaukumi gadā. 452717/364914= 1,24 euro x pakalpojuma skaits gadā)</t>
  </si>
  <si>
    <t>OMT uzturēšana/remonts/apdrošināšana (OMT remonta, apdrošināšanas izdevumi gadā / kopējie izsaukumi gadā. 624380/364914= 1,71 euro x pakalpojuma skaits gadā)</t>
  </si>
  <si>
    <t>Izdevumi par precēm iestādes darbības nodrošināšanai, inventārs, biroja preces (inventāra, biroja preču izdevumi gadā / kopējie izsaukumi gadā. 157571/364914 = 0,43 eur x pakalpojuma skaits gadā)</t>
  </si>
  <si>
    <t>Zāles,medicīniskie materiāli (medikamentu izdevumi gadā / kopējie izsaukumi gadā. 596554/364914 = 1,63 + 9,22 euro x pakalpojuma skaits gadā)</t>
  </si>
  <si>
    <t>OMT rezerves daļas, iekārtu rezerves daļas (OMT rezerves daļu, iekārtu rezerves daļu izdevumi gadā / kopējie izsaukumi gadā. 500471/364914= 1,37 euro x pakalpojuma skaits gadā)</t>
  </si>
  <si>
    <t>Degviela  (vidējais nobraukums vienā izsaukumā 34 km, degvielas patēriņš 15l/100 km, cena 1,06 eur/l. 15/100 x 34 x 1,06 = 5,41 euro x plānotais pakalpojumu skaits)</t>
  </si>
  <si>
    <t>Telpu uzturēšanas izmaksas (telpu uzturēšanas izmaksas gadā / kopējie izsaukumi gadā. 286606/364914= 0,79 euor x pakalpojuma skaits gadā)</t>
  </si>
  <si>
    <t>Zāles/medicīniskie materiāli (medikamentu izdevumi gadā / kopējie izsaukumi gadā. 596554/364914 = 1,63 + 11,52 eur x pakalpojuma skaits gadā)</t>
  </si>
  <si>
    <t>Sakaru pakalpojumi (sakaru un telekomunikāciju izdevumi gadā / kopējie izsaukumi gadā. 367899/364914 =1,01 euro x pakalpojuma skaits gadā)</t>
  </si>
  <si>
    <t>Zāles/medicīniskie materiāli (medikamentu izdevumi gadā / kopējie izsaukumi gadā. 596554/364914= 1,63 euro x pakalpojuma skaits gadā)</t>
  </si>
  <si>
    <t>Zāles/medicīniskie materiāli (medikamentu izdevumi gadā / kopējie izsaukumi gadā. 596554/364914 = 1,63 + 6,91 eur x pakalpojuma skaits gadā)</t>
  </si>
  <si>
    <t>Administratīvie izdevumi (administratīvie izdevumi gadā / kopējie izsaukumi gadā. 234731/364914 = 0,64 eur x pakalpojuma skaits gadā)</t>
  </si>
  <si>
    <t>Zāles/medicīniskie materiāli (medikamentu izdevumi gadā / kopējie izsaukumi gadā. 596554/364914 = 1,63 + 9,22 euro x pakalpojuma skaits gadā)</t>
  </si>
  <si>
    <t>Degviela  (vidējais nobraukums vienā izsaukumā 34km, degvielas patēriņš 15l/100 km, cena 1,06 eur/l. 15/100 x 34 x 1,06 = 5,41 x plānotais pakalpojumu skaits)</t>
  </si>
  <si>
    <t>IT pakalpojumi (IT sistēmu uzturēšanas izdevumi gadā / kopējie izsaukumi gadā. 627676/364914 = 1,72 eur x pakalpojuma skaits gadā)</t>
  </si>
  <si>
    <t>Medicīnas asistenta alga</t>
  </si>
  <si>
    <t>Zāles/medicīniskie materiāli (medikamentu izdevumi gadā / kopējie izsaukumi gadā.596554/364914 = 1,63 + 11,52 eur x pakalpojuma skaits gadā)</t>
  </si>
  <si>
    <t>Telpu uzturēšanas izmaksas (telpu uzturēšanas izmaksas gadā / kopējie izsaukumi gadā. 286606/364914= 0,79 euro x pakalpojuma skaits gadā)</t>
  </si>
  <si>
    <t>Zāles/medicīniskie materiāli (medikamentu izdevumi gadā / kopējie izsaukumi gadā.596554/364914 = 1,63 + 6,91 euro x pakalpojuma skaits gadā)</t>
  </si>
  <si>
    <t>Zāles/medicīniskie materiāli (medikamentu izdevumi gadā / kopējie izsaukumi gadā. 596554/364914 = 1,63 euro x pakalpojuma skaits gadā)</t>
  </si>
  <si>
    <t>Degviela  (vidējais nobraukums vienā izsaukumā 34 km, degvielas patēriņš 15l/100 km, cena 1,06 eur/l. 15/100 x 34x 1,06 = 5,41 x plānotais pakalpojumu skaits)</t>
  </si>
  <si>
    <t>Izdevumi par precēm iestādes darbības nodrošināšanai, inventārs, biroja preces (inventāra, biroja preču izdevumi gadā / kopējie izsaukumi gadā. 157571/364914= 0,43 euro x pakalpojuma skaits gadā)</t>
  </si>
  <si>
    <t>Komandējumi, mācību braucieni (komandējumu izdevumi gadā / kopējie izsaukumi gadā. 39708/364914 = 0,11 eurO x pakalpojuma skaits gadā)</t>
  </si>
  <si>
    <t>Zāles/medicīniskie materiāli (medikamentu izdevumi gadā / kopējie izsaukumi gadā. 596554/364914 = 1,63 euro x pakalpojuma skaits gadā + 27,58)</t>
  </si>
  <si>
    <t>Degviela (degvielas patēriņš 15l/100 km, vidējā DD degvielas cena Eiropā uz 18.02.2020 - 1,317 eur/l, 15/100 x 1,317 = 0,20 eur/1 km)</t>
  </si>
  <si>
    <t>Komunālie pakalpojumi (komunālo pakalpojumu izdevumi gadā / kopējie izsaukumi gadā. 813902/364914= 2,23 euro x pakalpojuma skaits gadā)</t>
  </si>
  <si>
    <t>Zāles/medicīniskie materiāli (medikamentu izdevumi gadā / kopējie izsaukumi gadā.596554/364914 = 1,63 + 9,22 eur x pakalpojuma skaits gadā)</t>
  </si>
  <si>
    <t>Zāles/medicīniskie materiāli (medikamentu izdevumi gadā / kopējie izsaukumi gadā.596554/364914 = 1,63 + 9,22 euro x pakalpojuma skaits gadā)</t>
  </si>
  <si>
    <t>IT pakalpojumi (IT sistēmu uzturēšanas izdevumi gadā / kopējie izsaukumi gadā. 627676/364914 = 1,54 euro x pakalpojuma skaits gadā)</t>
  </si>
  <si>
    <t xml:space="preserve"> OMTvadītāja alga</t>
  </si>
  <si>
    <t>Zāles/medicīniskie materiāli (medikamentu izdevumi gadā / kopējie izsaukumi gadā.596554/364914 = 1,63 + 6,91 eur x pakalpojuma skaits gadā)</t>
  </si>
  <si>
    <t>Telpu uzturēšanas izmaksas (telpu uzturēšanas izmaksas gadā / kopējie izsaukumi gadā. 286606/364914 = 0,79 eur x pakalpojuma skaits gadā)</t>
  </si>
  <si>
    <t>Tehnoloģiskās iekārtas (amortizācija - manekens ar datorpieslēgumu 2 gab. 165,17 euro, aizrīšanās treniņu manekens 16,27 euro, bērna manekens 32,80 euro, zīdaiņa manekens 2 gab. 45,93 euro.  165,17+16,27+32,80+45,93 = 260,16/11 = 23,65 euro x pakalpojumu skaits gadā)</t>
  </si>
  <si>
    <t>Nemateriālie ieguldījumi (izmaksas par licencēm un programmām gadā / kopējie izsaukumi gadā. 42368/364914 = 0,12 euro x pakalpojuma skaits gadā)</t>
  </si>
  <si>
    <t>OMT uzturēšana/remonts (OMT vienas regulārās apkopes vidējās izmaksas 663,47 euro)</t>
  </si>
  <si>
    <t>Atalgojums NMP ārstam (stundas likme 2,08 euro)</t>
  </si>
  <si>
    <t>Atalgojums ārstam palīgam (stundas likme 1,52 euro)</t>
  </si>
  <si>
    <t>Atalgojums citi darbinieki (atbalsta personāla atalgojums 0,10% no brigāžu personāla.  0,1 x pakalpojumu skaits gadā)</t>
  </si>
  <si>
    <t>Plānotais pakalpojuma sniegšanas vienību skaits: 6300</t>
  </si>
  <si>
    <t>Plānotais pakalpojuma sniegšanas vienību skaits: 700</t>
  </si>
  <si>
    <t>Plānotais pakalpojuma sniegšanas vienību skaits: 2600</t>
  </si>
  <si>
    <r>
      <t>papildu operatīvā medicīniskā transportlīdzekļa vadītāja piesaistīšana (izsaukums)</t>
    </r>
    <r>
      <rPr>
        <vertAlign val="superscript"/>
        <sz val="14"/>
        <color theme="1"/>
        <rFont val="Times New Roman"/>
        <family val="1"/>
        <charset val="186"/>
      </rPr>
      <t>5, 7</t>
    </r>
  </si>
  <si>
    <t>OMT amortizācija (OMT amortizācija 1,12 euro/h x plānotais pakalpojumu skaits), medicīniskā aprīkojuma un informācijas tehnoloģiju izmaksas gadā / kopējie izsaukumi gadā. 1510689/364914 = 4,14 euro x pakalpojumu skaits gadā</t>
  </si>
  <si>
    <r>
      <t>neatliekamās medicīniskās palīdzības ārsta palīga nodrošināšana, neizmantojot operatīvo medicīnisko transportlīdzekli (izsaukums)</t>
    </r>
    <r>
      <rPr>
        <vertAlign val="superscript"/>
        <sz val="14"/>
        <color theme="1"/>
        <rFont val="Times New Roman"/>
        <family val="1"/>
        <charset val="186"/>
      </rPr>
      <t>5, 7</t>
    </r>
  </si>
  <si>
    <r>
      <t>anesteziologa–reanimatologa nodrošināšana, neizmantojot operatīvo medicīnisko transportlīdzekli (izsaukums)</t>
    </r>
    <r>
      <rPr>
        <vertAlign val="superscript"/>
        <sz val="12"/>
        <rFont val="Times New Roman"/>
        <family val="1"/>
        <charset val="186"/>
      </rPr>
      <t>5, 7</t>
    </r>
  </si>
  <si>
    <r>
      <t>ārsta speciālista nodrošināšana, neizmantojot operatīvo medicīnisko transportlīdzekli (izsaukums)</t>
    </r>
    <r>
      <rPr>
        <vertAlign val="superscript"/>
        <sz val="14"/>
        <color theme="1"/>
        <rFont val="Times New Roman"/>
        <family val="1"/>
        <charset val="186"/>
      </rPr>
      <t>5, 7</t>
    </r>
  </si>
  <si>
    <r>
      <t>neatliekamās medicīniskās palīdzības ārsta nodrošināšana, neizmantojot operatīvo medicīnisko transportlīdzekli (izsaukums)</t>
    </r>
    <r>
      <rPr>
        <vertAlign val="superscript"/>
        <sz val="14"/>
        <color theme="1"/>
        <rFont val="Times New Roman"/>
        <family val="1"/>
        <charset val="186"/>
      </rPr>
      <t>5, 7</t>
    </r>
  </si>
  <si>
    <r>
      <t>operatīvā medicīniskā transportlīdzekļa izmantošana (ar tā vadītāju) (izsaukums)</t>
    </r>
    <r>
      <rPr>
        <vertAlign val="superscript"/>
        <sz val="14"/>
        <color theme="1"/>
        <rFont val="Times New Roman"/>
        <family val="1"/>
        <charset val="186"/>
      </rPr>
      <t>7</t>
    </r>
  </si>
  <si>
    <t>Atalgojums darbiniekiem (10% no iesaistītā darbinieka atalgojuma 1190 euro x 10%) un (60% no iesaistītā darbinieka atalgojuma 996,00 euro x 60%)</t>
  </si>
  <si>
    <t>Iestādes administratīvie izdevumi, ar iestādes darbības nodrošināšanu saistītie izdevumi un tipogrāfijas pakalpojumi 1,13 euro x pakalpojumu skaits gadā</t>
  </si>
  <si>
    <t>3 Personai tiek sniegta neatliekamā medicīniskā palīdzība tādā apmērā, kā to paredz Veselības aprūpes finansēšanas likums un citi normatīvie akti par veselības aprūpes pakalpojumu organizēšanas un samaksas kārtību.</t>
  </si>
  <si>
    <r>
      <t>Medicīniskās palīdzības nodrošināšana pasākumos</t>
    </r>
    <r>
      <rPr>
        <b/>
        <vertAlign val="superscript"/>
        <sz val="12"/>
        <rFont val="Times New Roman"/>
        <family val="1"/>
        <charset val="186"/>
      </rPr>
      <t>1, 2, 5, 11, 16</t>
    </r>
  </si>
  <si>
    <r>
      <t>neatliekamās medicīniskās palīdzības ārsta palīga brigādes izsaukums</t>
    </r>
    <r>
      <rPr>
        <vertAlign val="superscript"/>
        <sz val="12"/>
        <rFont val="Times New Roman"/>
        <family val="1"/>
        <charset val="186"/>
      </rPr>
      <t>6</t>
    </r>
    <r>
      <rPr>
        <sz val="12"/>
        <rFont val="Times New Roman"/>
        <family val="1"/>
        <charset val="186"/>
      </rPr>
      <t xml:space="preserve"> ārpus Latvijas robežām</t>
    </r>
    <r>
      <rPr>
        <vertAlign val="superscript"/>
        <sz val="12"/>
        <rFont val="Times New Roman"/>
        <family val="1"/>
        <charset val="186"/>
      </rPr>
      <t>7, 17</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</si>
  <si>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 ārpus Latvijas robežām</t>
    </r>
    <r>
      <rPr>
        <vertAlign val="superscript"/>
        <sz val="12"/>
        <rFont val="Times New Roman"/>
        <family val="1"/>
        <charset val="186"/>
      </rPr>
      <t>7, 17</t>
    </r>
  </si>
  <si>
    <r>
      <t>specializētās brigādes</t>
    </r>
    <r>
      <rPr>
        <vertAlign val="superscript"/>
        <sz val="12"/>
        <rFont val="Times New Roman"/>
        <family val="1"/>
        <charset val="186"/>
      </rPr>
      <t>9</t>
    </r>
    <r>
      <rPr>
        <sz val="12"/>
        <rFont val="Times New Roman"/>
        <family val="1"/>
        <charset val="186"/>
      </rPr>
      <t xml:space="preserve"> izsaukums ārpus Latvijas robežām</t>
    </r>
    <r>
      <rPr>
        <vertAlign val="superscript"/>
        <sz val="12"/>
        <rFont val="Times New Roman"/>
        <family val="1"/>
        <charset val="186"/>
      </rPr>
      <t>7, 17</t>
    </r>
  </si>
  <si>
    <r>
      <t>reanimācijas brigādes</t>
    </r>
    <r>
      <rPr>
        <vertAlign val="superscript"/>
        <sz val="12"/>
        <rFont val="Times New Roman"/>
        <family val="1"/>
        <charset val="186"/>
      </rPr>
      <t>10</t>
    </r>
    <r>
      <rPr>
        <sz val="12"/>
        <rFont val="Times New Roman"/>
        <family val="1"/>
        <charset val="186"/>
      </rPr>
      <t xml:space="preserve"> izsaukums ārpus Latvijas robežām</t>
    </r>
    <r>
      <rPr>
        <vertAlign val="superscript"/>
        <sz val="12"/>
        <rFont val="Times New Roman"/>
        <family val="1"/>
        <charset val="186"/>
      </rPr>
      <t>7, 17</t>
    </r>
  </si>
  <si>
    <r>
      <t xml:space="preserve">ārsta speciālista </t>
    </r>
    <r>
      <rPr>
        <vertAlign val="superscript"/>
        <sz val="14"/>
        <color theme="1"/>
        <rFont val="Times New Roman"/>
        <family val="1"/>
        <charset val="186"/>
      </rPr>
      <t xml:space="preserve">14 </t>
    </r>
    <r>
      <rPr>
        <sz val="12"/>
        <color theme="1"/>
        <rFont val="Times New Roman"/>
        <family val="1"/>
        <charset val="186"/>
      </rPr>
      <t>izsaukums</t>
    </r>
    <r>
      <rPr>
        <vertAlign val="superscript"/>
        <sz val="14"/>
        <color theme="1"/>
        <rFont val="Times New Roman"/>
        <family val="1"/>
        <charset val="186"/>
      </rPr>
      <t>5, 13, 17</t>
    </r>
  </si>
  <si>
    <r>
      <t>ārsta speciālista izsaukums, neizmantojot operatīvo medicīnisko transportlīdzekli</t>
    </r>
    <r>
      <rPr>
        <vertAlign val="superscript"/>
        <sz val="14"/>
        <color theme="1"/>
        <rFont val="Times New Roman"/>
        <family val="1"/>
        <charset val="186"/>
      </rPr>
      <t>5, 13, 17</t>
    </r>
  </si>
  <si>
    <r>
      <rPr>
        <vertAlign val="superscript"/>
        <sz val="10"/>
        <color theme="1"/>
        <rFont val="Times New Roman"/>
        <family val="1"/>
        <charset val="186"/>
      </rPr>
      <t>16 </t>
    </r>
    <r>
      <rPr>
        <sz val="10"/>
        <color theme="1"/>
        <rFont val="Times New Roman"/>
        <family val="1"/>
        <charset val="186"/>
      </rPr>
      <t>Papildus piemēro izdevumus, kas saistīti ar pirmās palīdzības sniedzēju piesaistīšanu kā atbalsta resursu neatliekamās medicīniskās palīdzības nodrošināšanā, atbilstoši normatīvajiem aktiem, kas nosaka neatliekamās medicīniskās palīdzības nodrošināšanas kārtību publiskos masu pasākumos.</t>
    </r>
  </si>
  <si>
    <r>
      <rPr>
        <vertAlign val="superscript"/>
        <sz val="10"/>
        <color theme="1"/>
        <rFont val="Times New Roman"/>
        <family val="1"/>
        <charset val="186"/>
      </rPr>
      <t>17 </t>
    </r>
    <r>
      <rPr>
        <sz val="10"/>
        <color theme="1"/>
        <rFont val="Times New Roman"/>
        <family val="1"/>
        <charset val="186"/>
      </rPr>
      <t xml:space="preserve">Papildus piemēro izdevumus, kas nepieciešami kvalitatīvas un operatīvas specializētās palīdzības sniegšanai pacientam medicīniskās transportēšanas laikā vai saņemot ķirurģisku palīdzību, atbilstoši pacienta diagnozei un medicīniskajam stāvoklim. </t>
    </r>
  </si>
  <si>
    <t>Zāles/medicīniskie materiāli (medikamentu izdevumi gadā / kopējie izsaukumi gadā. 596554/364914 = 1,63 + 11,52 euro x pakalpojuma skaits gadā)</t>
  </si>
  <si>
    <t>Ārsta reanimataloga (pēc tāmes 2020.gadam)</t>
  </si>
  <si>
    <t>Brigādes otrās ārstniecības personas alga (pēc tāmes 2020.gadam)</t>
  </si>
  <si>
    <t>OMT vadītāja alga (pēc tāmes 2020.gadam)</t>
  </si>
  <si>
    <t>Inventārs (paklāji treniņiem 6.gab 12 eur, pārsienamais materiāls 30 eur, motociklista ķivere 2 gab. 50eur, elpināšanas masku komplekts 5 eur, aptieciņas 2 gab. 30 eur, dezinfekcijas līdzekļi 10 eur. 12+30+50+5+30+10 =137/25 =5.48 eur x pakalpojumu skaits gadā)</t>
  </si>
  <si>
    <t>Administratīvie izdevumi (pēc fakta uz pakalpojumu)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</si>
</sst>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1">
    <font>
      <sz val="11"/>
      <color theme="1"/>
      <name val="Calibri"/>
      <family val="2"/>
      <charset val="186"/>
      <scheme val="minor"/>
    </font>
    <font>
      <sz val="12"/>
      <color theme="1"/>
      <name val="Times New Roman"/>
      <family val="1"/>
      <charset val="186"/>
    </font>
    <font>
      <b/>
      <sz val="12"/>
      <color theme="1"/>
      <name val="Times New Roman"/>
      <family val="1"/>
      <charset val="186"/>
    </font>
    <font>
      <b/>
      <sz val="12"/>
      <name val="Times New Roman"/>
      <family val="1"/>
      <charset val="186"/>
    </font>
    <font>
      <b/>
      <i/>
      <sz val="12"/>
      <name val="Times New Roman"/>
      <family val="1"/>
      <charset val="186"/>
    </font>
    <font>
      <sz val="12"/>
      <name val="Times New Roman"/>
      <family val="1"/>
      <charset val="186"/>
    </font>
    <font>
      <vertAlign val="superscript"/>
      <sz val="12"/>
      <name val="Times New Roman"/>
      <family val="1"/>
      <charset val="186"/>
    </font>
    <font>
      <sz val="10"/>
      <name val="Arial"/>
      <family val="2"/>
      <charset val="186"/>
    </font>
    <font>
      <sz val="10"/>
      <color theme="1"/>
      <name val="Times New Roman"/>
      <family val="1"/>
      <charset val="186"/>
    </font>
    <font>
      <u/>
      <sz val="12"/>
      <color theme="1"/>
      <name val="Times New Roman"/>
      <family val="1"/>
      <charset val="186"/>
    </font>
    <font>
      <b/>
      <sz val="12"/>
      <color rgb="FF000000"/>
      <name val="Times New Roman"/>
      <family val="1"/>
      <charset val="186"/>
    </font>
    <font>
      <sz val="12"/>
      <color rgb="FF000000"/>
      <name val="Times New Roman"/>
      <family val="1"/>
      <charset val="186"/>
    </font>
    <font>
      <i/>
      <sz val="12"/>
      <color rgb="FF000000"/>
      <name val="Times New Roman"/>
      <family val="1"/>
      <charset val="186"/>
    </font>
    <font>
      <sz val="10"/>
      <name val="Arial"/>
      <family val="2"/>
    </font>
    <font>
      <sz val="10"/>
      <name val="BaltHelvetica"/>
    </font>
    <font>
      <sz val="12"/>
      <color rgb="FFFF0000"/>
      <name val="Times New Roman"/>
      <family val="1"/>
      <charset val="186"/>
    </font>
    <font>
      <vertAlign val="superscript"/>
      <sz val="10"/>
      <color theme="1"/>
      <name val="Times New Roman"/>
      <family val="1"/>
      <charset val="186"/>
    </font>
    <font>
      <b/>
      <vertAlign val="superscript"/>
      <sz val="12"/>
      <name val="Times New Roman"/>
      <family val="1"/>
      <charset val="186"/>
    </font>
    <font>
      <sz val="14"/>
      <color theme="1"/>
      <name val="Times New Roman"/>
      <family val="1"/>
      <charset val="186"/>
    </font>
    <font>
      <vertAlign val="superscript"/>
      <sz val="14"/>
      <color theme="1"/>
      <name val="Times New Roman"/>
      <family val="1"/>
      <charset val="186"/>
    </font>
    <font>
      <sz val="11"/>
      <color theme="1"/>
      <name val="Calibri"/>
      <family val="2"/>
      <charset val="186"/>
      <scheme val="minor"/>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s>
  <cellStyleXfs count="7">
    <xf numFmtId="0" fontId="0" fillId="0" borderId="0"/>
    <xf numFmtId="0" fontId="7" fillId="0" borderId="0"/>
    <xf numFmtId="0" fontId="13" fillId="0" borderId="0"/>
    <xf numFmtId="0" fontId="13" fillId="0" borderId="0"/>
    <xf numFmtId="0" fontId="13" fillId="0" borderId="0"/>
    <xf numFmtId="0" fontId="14" fillId="0" borderId="0"/>
    <xf numFmtId="43" fontId="20" fillId="0" borderId="0" applyFont="0" applyFill="0" applyBorder="0" applyAlignment="0" applyProtection="0"/>
  </cellStyleXfs>
  <cellXfs count="142">
    <xf numFmtId="0" fontId="0" fillId="0" borderId="0" xfId="0"/>
    <xf numFmtId="0" fontId="1" fillId="0" borderId="0" xfId="0" applyFont="1"/>
    <xf numFmtId="0" fontId="1" fillId="0" borderId="0" xfId="0" applyFont="1"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2" fontId="5" fillId="2"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2" fontId="1" fillId="0" borderId="0" xfId="0" applyNumberFormat="1" applyFont="1"/>
    <xf numFmtId="0" fontId="5" fillId="4" borderId="1" xfId="0" applyFont="1" applyFill="1" applyBorder="1" applyAlignment="1">
      <alignment horizontal="left" vertical="center" wrapText="1"/>
    </xf>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5" fillId="0" borderId="0" xfId="1" applyFont="1"/>
    <xf numFmtId="0" fontId="5" fillId="0" borderId="0" xfId="1" applyFont="1" applyAlignment="1">
      <alignment horizontal="right"/>
    </xf>
    <xf numFmtId="0" fontId="8" fillId="0" borderId="0" xfId="0" applyFont="1"/>
    <xf numFmtId="0" fontId="3" fillId="3" borderId="1" xfId="0" applyFont="1" applyFill="1" applyBorder="1" applyAlignment="1">
      <alignment vertical="center" wrapText="1"/>
    </xf>
    <xf numFmtId="0" fontId="3" fillId="5" borderId="1" xfId="0" applyFont="1" applyFill="1" applyBorder="1" applyAlignment="1">
      <alignment horizontal="left" vertical="center" wrapText="1"/>
    </xf>
    <xf numFmtId="0" fontId="2"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wrapText="1"/>
    </xf>
    <xf numFmtId="0" fontId="5" fillId="0" borderId="8" xfId="0" applyFont="1" applyBorder="1" applyAlignment="1">
      <alignment horizontal="justify" vertical="top" wrapText="1"/>
    </xf>
    <xf numFmtId="0" fontId="1" fillId="0" borderId="8" xfId="0" applyFont="1" applyBorder="1" applyAlignment="1">
      <alignment horizontal="justify" vertical="top" wrapText="1"/>
    </xf>
    <xf numFmtId="0" fontId="2" fillId="0" borderId="8" xfId="0" applyFont="1" applyBorder="1" applyAlignment="1">
      <alignment vertical="top" wrapText="1"/>
    </xf>
    <xf numFmtId="2" fontId="2" fillId="0" borderId="8"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1" fillId="0" borderId="8" xfId="0" applyFont="1" applyBorder="1" applyAlignment="1">
      <alignment horizontal="left" vertical="top" wrapText="1"/>
    </xf>
    <xf numFmtId="0" fontId="5" fillId="4" borderId="8" xfId="0" applyFont="1" applyFill="1" applyBorder="1" applyAlignment="1">
      <alignment horizontal="justify" vertical="top" wrapText="1"/>
    </xf>
    <xf numFmtId="0" fontId="1" fillId="4" borderId="0" xfId="0" applyFont="1" applyFill="1"/>
    <xf numFmtId="0" fontId="2" fillId="0" borderId="8" xfId="0" applyFont="1" applyBorder="1" applyAlignment="1">
      <alignment horizontal="right" vertical="center" wrapText="1"/>
    </xf>
    <xf numFmtId="0" fontId="5" fillId="0" borderId="10" xfId="0" applyFont="1" applyBorder="1" applyAlignment="1">
      <alignment horizontal="center" vertical="center"/>
    </xf>
    <xf numFmtId="2" fontId="10" fillId="0" borderId="11" xfId="0" applyNumberFormat="1" applyFont="1" applyBorder="1" applyAlignment="1">
      <alignment horizontal="center" vertical="center"/>
    </xf>
    <xf numFmtId="0" fontId="5" fillId="0" borderId="0" xfId="1" applyFont="1" applyAlignment="1">
      <alignment horizontal="center"/>
    </xf>
    <xf numFmtId="0" fontId="1" fillId="0" borderId="12" xfId="0" applyFont="1" applyBorder="1" applyAlignment="1">
      <alignment horizontal="center" vertical="center" wrapText="1"/>
    </xf>
    <xf numFmtId="0" fontId="2"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20" xfId="0" applyFont="1" applyBorder="1" applyAlignment="1">
      <alignment horizontal="justify" vertical="top" wrapText="1"/>
    </xf>
    <xf numFmtId="0" fontId="5" fillId="0" borderId="21" xfId="0" applyFont="1" applyBorder="1" applyAlignment="1">
      <alignment horizontal="justify" vertical="top" wrapText="1"/>
    </xf>
    <xf numFmtId="0" fontId="5" fillId="0" borderId="22" xfId="0" applyFont="1" applyBorder="1" applyAlignment="1">
      <alignment horizontal="justify" vertical="top" wrapText="1"/>
    </xf>
    <xf numFmtId="0" fontId="5" fillId="0" borderId="24" xfId="0" applyFont="1" applyBorder="1" applyAlignment="1">
      <alignment horizontal="justify" vertical="top" wrapText="1"/>
    </xf>
    <xf numFmtId="2" fontId="5" fillId="0" borderId="17" xfId="0" applyNumberFormat="1" applyFont="1" applyBorder="1" applyAlignment="1">
      <alignment horizontal="center" vertical="center" wrapText="1"/>
    </xf>
    <xf numFmtId="0" fontId="15" fillId="0" borderId="0" xfId="1" applyFont="1"/>
    <xf numFmtId="2" fontId="5" fillId="0" borderId="0" xfId="1" applyNumberFormat="1" applyFont="1"/>
    <xf numFmtId="2" fontId="5" fillId="0" borderId="8"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1" xfId="0" applyNumberFormat="1" applyFont="1" applyBorder="1" applyAlignment="1">
      <alignment horizontal="center"/>
    </xf>
    <xf numFmtId="0" fontId="1" fillId="0" borderId="20" xfId="0" applyFont="1" applyBorder="1" applyAlignment="1">
      <alignment horizontal="center" vertical="center" wrapText="1"/>
    </xf>
    <xf numFmtId="0" fontId="5" fillId="0" borderId="29" xfId="0" applyFont="1" applyBorder="1" applyAlignment="1">
      <alignment horizontal="justify" vertical="top" wrapText="1"/>
    </xf>
    <xf numFmtId="2" fontId="5" fillId="0" borderId="2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2" fontId="3" fillId="0" borderId="11" xfId="0" applyNumberFormat="1" applyFont="1" applyBorder="1" applyAlignment="1">
      <alignment horizontal="center" vertical="center"/>
    </xf>
    <xf numFmtId="0" fontId="5" fillId="0" borderId="7" xfId="0" applyFont="1" applyBorder="1" applyAlignment="1">
      <alignment horizontal="center" vertical="center" wrapText="1"/>
    </xf>
    <xf numFmtId="0" fontId="1" fillId="0" borderId="1" xfId="0" applyFont="1" applyBorder="1" applyAlignment="1">
      <alignment horizontal="center" vertical="center" wrapText="1"/>
    </xf>
    <xf numFmtId="2" fontId="1" fillId="0" borderId="32" xfId="0" applyNumberFormat="1" applyFont="1" applyBorder="1" applyAlignment="1">
      <alignment horizontal="center" vertical="center" wrapText="1"/>
    </xf>
    <xf numFmtId="2" fontId="2" fillId="0" borderId="32" xfId="0" applyNumberFormat="1" applyFont="1" applyBorder="1" applyAlignment="1">
      <alignment horizontal="center" vertical="center" wrapText="1"/>
    </xf>
    <xf numFmtId="0" fontId="1" fillId="0" borderId="31" xfId="0" applyFont="1" applyBorder="1" applyAlignment="1">
      <alignment vertical="top" wrapText="1"/>
    </xf>
    <xf numFmtId="2" fontId="1" fillId="0" borderId="11" xfId="0" applyNumberFormat="1" applyFont="1" applyBorder="1" applyAlignment="1">
      <alignment horizontal="center" vertical="center" wrapText="1"/>
    </xf>
    <xf numFmtId="0" fontId="1" fillId="0" borderId="8" xfId="0" applyFont="1" applyBorder="1" applyAlignment="1">
      <alignment vertical="top" wrapText="1"/>
    </xf>
    <xf numFmtId="0" fontId="5" fillId="0" borderId="20" xfId="0" applyFont="1" applyBorder="1" applyAlignment="1">
      <alignment horizontal="justify" vertical="top"/>
    </xf>
    <xf numFmtId="0" fontId="5" fillId="0" borderId="21" xfId="0" applyFont="1" applyBorder="1" applyAlignment="1">
      <alignment horizontal="justify" vertical="top"/>
    </xf>
    <xf numFmtId="0" fontId="5" fillId="0" borderId="22" xfId="0" applyFont="1" applyBorder="1" applyAlignment="1">
      <alignment horizontal="justify" vertical="top"/>
    </xf>
    <xf numFmtId="0" fontId="1" fillId="0" borderId="8" xfId="0" applyFont="1" applyBorder="1" applyAlignment="1">
      <alignment horizontal="justify" vertical="top"/>
    </xf>
    <xf numFmtId="0" fontId="2" fillId="0" borderId="8" xfId="0" applyFont="1" applyBorder="1" applyAlignment="1">
      <alignment vertical="top"/>
    </xf>
    <xf numFmtId="0" fontId="5" fillId="0" borderId="8" xfId="0" applyFont="1" applyBorder="1" applyAlignment="1">
      <alignment horizontal="justify" vertical="top"/>
    </xf>
    <xf numFmtId="0" fontId="5" fillId="4" borderId="8" xfId="0" applyFont="1" applyFill="1" applyBorder="1" applyAlignment="1">
      <alignment horizontal="justify" vertical="top"/>
    </xf>
    <xf numFmtId="0" fontId="1" fillId="0" borderId="8" xfId="0" applyFont="1" applyBorder="1" applyAlignment="1">
      <alignment horizontal="justify"/>
    </xf>
    <xf numFmtId="0" fontId="2" fillId="0" borderId="8" xfId="0" applyFont="1" applyBorder="1"/>
    <xf numFmtId="0" fontId="5" fillId="0" borderId="8" xfId="0" applyFont="1" applyBorder="1" applyAlignment="1">
      <alignment horizontal="justify"/>
    </xf>
    <xf numFmtId="0" fontId="2" fillId="0" borderId="13" xfId="0" applyFont="1" applyBorder="1" applyAlignment="1">
      <alignment vertical="center"/>
    </xf>
    <xf numFmtId="0" fontId="1" fillId="0" borderId="8" xfId="0" applyFont="1" applyBorder="1" applyAlignment="1">
      <alignment horizontal="justify" wrapText="1"/>
    </xf>
    <xf numFmtId="0" fontId="5" fillId="0" borderId="29" xfId="0" applyFont="1" applyBorder="1" applyAlignment="1">
      <alignment horizontal="justify" vertical="top"/>
    </xf>
    <xf numFmtId="0" fontId="5" fillId="0" borderId="3" xfId="0" applyFont="1" applyBorder="1" applyAlignment="1">
      <alignment horizontal="justify" vertical="top"/>
    </xf>
    <xf numFmtId="0" fontId="5" fillId="0" borderId="30" xfId="0" applyFont="1" applyBorder="1" applyAlignment="1">
      <alignment horizontal="justify" vertical="top"/>
    </xf>
    <xf numFmtId="0" fontId="5" fillId="0" borderId="29" xfId="0" applyFont="1" applyBorder="1" applyAlignment="1">
      <alignment horizontal="justify"/>
    </xf>
    <xf numFmtId="0" fontId="5" fillId="0" borderId="3" xfId="0" applyFont="1" applyBorder="1" applyAlignment="1">
      <alignment horizontal="justify"/>
    </xf>
    <xf numFmtId="0" fontId="5" fillId="0" borderId="30" xfId="0" applyFont="1" applyBorder="1" applyAlignment="1">
      <alignment horizontal="justify"/>
    </xf>
    <xf numFmtId="0" fontId="5" fillId="0" borderId="2" xfId="0" applyFont="1" applyBorder="1" applyAlignment="1">
      <alignment horizontal="justify" vertical="top"/>
    </xf>
    <xf numFmtId="0" fontId="1" fillId="0" borderId="31" xfId="0" applyFont="1" applyBorder="1" applyAlignment="1">
      <alignment horizontal="justify" vertical="top"/>
    </xf>
    <xf numFmtId="0" fontId="2" fillId="0" borderId="31" xfId="0" applyFont="1" applyBorder="1" applyAlignment="1">
      <alignment vertical="top"/>
    </xf>
    <xf numFmtId="0" fontId="5" fillId="0" borderId="31" xfId="0" applyFont="1" applyBorder="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5" xfId="0" applyFont="1" applyBorder="1" applyAlignment="1">
      <alignment horizontal="justify" vertical="top" wrapText="1"/>
    </xf>
    <xf numFmtId="0" fontId="1" fillId="0" borderId="27" xfId="0" applyFont="1" applyBorder="1" applyAlignment="1">
      <alignment horizontal="justify" vertical="top" wrapText="1"/>
    </xf>
    <xf numFmtId="2" fontId="1" fillId="0" borderId="26"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2" fontId="1" fillId="4" borderId="8" xfId="0" applyNumberFormat="1" applyFont="1" applyFill="1" applyBorder="1" applyAlignment="1">
      <alignment horizontal="center" vertical="center" wrapText="1"/>
    </xf>
    <xf numFmtId="2" fontId="8" fillId="0" borderId="0" xfId="0" applyNumberFormat="1" applyFont="1"/>
    <xf numFmtId="2" fontId="8" fillId="0" borderId="0" xfId="0" applyNumberFormat="1" applyFont="1" applyAlignment="1">
      <alignment horizontal="center"/>
    </xf>
    <xf numFmtId="0" fontId="8" fillId="0" borderId="0" xfId="0" applyFont="1" applyAlignment="1">
      <alignment horizontal="center"/>
    </xf>
    <xf numFmtId="2" fontId="8" fillId="0" borderId="0" xfId="0" applyNumberFormat="1" applyFont="1" applyAlignment="1">
      <alignment horizontal="center" vertical="center"/>
    </xf>
    <xf numFmtId="0" fontId="8" fillId="0" borderId="0" xfId="0" applyFont="1" applyAlignment="1">
      <alignment vertical="center"/>
    </xf>
    <xf numFmtId="0" fontId="8" fillId="0" borderId="13" xfId="0" applyFont="1" applyBorder="1" applyAlignment="1">
      <alignment horizontal="center" vertical="center" wrapText="1"/>
    </xf>
    <xf numFmtId="2" fontId="5" fillId="0" borderId="32" xfId="0" applyNumberFormat="1" applyFont="1" applyBorder="1" applyAlignment="1">
      <alignment horizontal="center" vertical="center" wrapText="1"/>
    </xf>
    <xf numFmtId="2" fontId="5" fillId="0" borderId="21"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2" fontId="5" fillId="0" borderId="35"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0" fontId="1" fillId="4" borderId="8" xfId="0" applyFont="1" applyFill="1" applyBorder="1" applyAlignment="1">
      <alignment horizontal="justify" vertical="top"/>
    </xf>
    <xf numFmtId="0" fontId="8" fillId="0" borderId="0" xfId="0" applyFont="1" applyAlignment="1">
      <alignment horizontal="left" wrapText="1"/>
    </xf>
    <xf numFmtId="1" fontId="5" fillId="0" borderId="10" xfId="0" applyNumberFormat="1" applyFont="1" applyBorder="1" applyAlignment="1">
      <alignment horizontal="center" vertical="center"/>
    </xf>
    <xf numFmtId="164" fontId="1" fillId="0" borderId="0" xfId="0" applyNumberFormat="1" applyFont="1"/>
    <xf numFmtId="0" fontId="5" fillId="0" borderId="8" xfId="0" applyFont="1" applyBorder="1" applyAlignment="1">
      <alignment horizontal="left" vertical="top" wrapText="1"/>
    </xf>
    <xf numFmtId="0" fontId="1" fillId="0" borderId="14" xfId="0" applyFont="1" applyBorder="1" applyAlignment="1">
      <alignment horizontal="center" vertical="center" wrapText="1"/>
    </xf>
    <xf numFmtId="0" fontId="2" fillId="0" borderId="31" xfId="0" applyFont="1" applyBorder="1" applyAlignment="1">
      <alignment horizontal="right" vertical="center" wrapText="1"/>
    </xf>
    <xf numFmtId="2" fontId="2" fillId="0" borderId="13" xfId="0" applyNumberFormat="1" applyFont="1" applyBorder="1" applyAlignment="1">
      <alignment horizontal="center" vertical="center" wrapText="1"/>
    </xf>
    <xf numFmtId="2" fontId="3" fillId="2" borderId="10" xfId="0" applyNumberFormat="1" applyFont="1" applyFill="1" applyBorder="1" applyAlignment="1">
      <alignment horizontal="center" vertical="center" wrapText="1"/>
    </xf>
    <xf numFmtId="4" fontId="2" fillId="0" borderId="8" xfId="0" applyNumberFormat="1" applyFont="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0" xfId="0" applyFont="1" applyFill="1"/>
    <xf numFmtId="43" fontId="2" fillId="0" borderId="0" xfId="6" applyFont="1"/>
    <xf numFmtId="0" fontId="1" fillId="0" borderId="0" xfId="0" applyFont="1" applyAlignment="1">
      <alignment horizontal="right"/>
    </xf>
    <xf numFmtId="0" fontId="1" fillId="0" borderId="0" xfId="0" applyFont="1" applyAlignment="1">
      <alignment horizontal="right" wrapText="1"/>
    </xf>
    <xf numFmtId="0" fontId="2" fillId="0" borderId="0" xfId="0" applyFont="1" applyAlignment="1">
      <alignment horizontal="center"/>
    </xf>
    <xf numFmtId="0" fontId="3" fillId="2"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1" fillId="4" borderId="0" xfId="0" applyFont="1" applyFill="1" applyAlignment="1">
      <alignment horizontal="left"/>
    </xf>
    <xf numFmtId="49" fontId="3" fillId="6" borderId="1" xfId="0" applyNumberFormat="1" applyFont="1" applyFill="1" applyBorder="1" applyAlignment="1">
      <alignment vertical="center" wrapText="1"/>
    </xf>
    <xf numFmtId="0" fontId="3" fillId="3"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5" fillId="0" borderId="0" xfId="1" applyFont="1" applyAlignment="1">
      <alignment horizontal="left"/>
    </xf>
    <xf numFmtId="0" fontId="6" fillId="0" borderId="0" xfId="1" applyFont="1" applyAlignment="1">
      <alignment horizontal="left"/>
    </xf>
    <xf numFmtId="0" fontId="1" fillId="0" borderId="0" xfId="0" applyFont="1" applyAlignment="1">
      <alignment horizontal="left" vertical="center" wrapText="1"/>
    </xf>
    <xf numFmtId="0" fontId="10" fillId="0" borderId="0" xfId="0" applyFont="1" applyAlignment="1">
      <alignment horizontal="left"/>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left" vertical="top" wrapText="1"/>
    </xf>
    <xf numFmtId="0" fontId="1" fillId="0" borderId="23" xfId="0" applyFont="1" applyBorder="1" applyAlignment="1">
      <alignment horizontal="center" vertical="center" wrapText="1"/>
    </xf>
    <xf numFmtId="0" fontId="3" fillId="0" borderId="0" xfId="0" applyFont="1" applyAlignment="1">
      <alignment horizontal="left"/>
    </xf>
  </cellXfs>
  <cellStyles count="7">
    <cellStyle name="Comma" xfId="6" builtinId="3"/>
    <cellStyle name="Normal" xfId="0" builtinId="0"/>
    <cellStyle name="Normal 2" xfId="1" xr:uid="{00000000-0005-0000-0000-000002000000}"/>
    <cellStyle name="Normal 2 2 2" xfId="2" xr:uid="{00000000-0005-0000-0000-000003000000}"/>
    <cellStyle name="Normal 3" xfId="3" xr:uid="{00000000-0005-0000-0000-000004000000}"/>
    <cellStyle name="Normal 4" xfId="4" xr:uid="{00000000-0005-0000-0000-000005000000}"/>
    <cellStyle name="Parastais_FMLikp01_p05_221205_pap_afp_makp"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N79"/>
  <sheetViews>
    <sheetView tabSelected="1" zoomScaleNormal="100" workbookViewId="0">
      <selection activeCell="C2" sqref="C2:F5"/>
    </sheetView>
  </sheetViews>
  <sheetFormatPr defaultColWidth="8.85546875" defaultRowHeight="15.75"/>
  <cols>
    <col min="1" max="1" width="8.85546875" style="1"/>
    <col min="2" max="2" width="106.85546875" style="1" customWidth="1"/>
    <col min="3" max="3" width="15.5703125" style="1" customWidth="1"/>
    <col min="4" max="4" width="10.5703125" style="1" customWidth="1"/>
    <col min="5" max="5" width="10.7109375" style="1" customWidth="1"/>
    <col min="6" max="6" width="8.85546875" style="1"/>
    <col min="7" max="7" width="12.7109375" style="1" bestFit="1" customWidth="1"/>
    <col min="8" max="16384" width="8.85546875" style="1"/>
  </cols>
  <sheetData>
    <row r="1" spans="1:14">
      <c r="D1" s="119" t="s">
        <v>0</v>
      </c>
      <c r="E1" s="119"/>
      <c r="F1" s="119"/>
    </row>
    <row r="2" spans="1:14">
      <c r="C2" s="120" t="s">
        <v>30</v>
      </c>
      <c r="D2" s="120"/>
      <c r="E2" s="120"/>
      <c r="F2" s="120"/>
    </row>
    <row r="3" spans="1:14">
      <c r="C3" s="120"/>
      <c r="D3" s="120"/>
      <c r="E3" s="120"/>
      <c r="F3" s="120"/>
    </row>
    <row r="4" spans="1:14">
      <c r="C4" s="120"/>
      <c r="D4" s="120"/>
      <c r="E4" s="120"/>
      <c r="F4" s="120"/>
    </row>
    <row r="5" spans="1:14">
      <c r="C5" s="120"/>
      <c r="D5" s="120"/>
      <c r="E5" s="120"/>
      <c r="F5" s="120"/>
    </row>
    <row r="7" spans="1:14">
      <c r="A7" s="121" t="s">
        <v>31</v>
      </c>
      <c r="B7" s="121"/>
      <c r="C7" s="121"/>
      <c r="D7" s="121"/>
      <c r="E7" s="121"/>
      <c r="F7" s="121"/>
    </row>
    <row r="10" spans="1:14" ht="23.25" customHeight="1">
      <c r="A10" s="122" t="s">
        <v>1</v>
      </c>
      <c r="B10" s="122" t="s">
        <v>2</v>
      </c>
      <c r="C10" s="122" t="s">
        <v>3</v>
      </c>
      <c r="D10" s="122" t="s">
        <v>4</v>
      </c>
      <c r="E10" s="122" t="s">
        <v>5</v>
      </c>
      <c r="F10" s="122" t="s">
        <v>6</v>
      </c>
      <c r="N10" s="2"/>
    </row>
    <row r="11" spans="1:14" ht="60.75" customHeight="1">
      <c r="A11" s="122"/>
      <c r="B11" s="122"/>
      <c r="C11" s="122"/>
      <c r="D11" s="122"/>
      <c r="E11" s="122"/>
      <c r="F11" s="122"/>
    </row>
    <row r="12" spans="1:14">
      <c r="A12" s="16" t="s">
        <v>7</v>
      </c>
      <c r="B12" s="125" t="s">
        <v>234</v>
      </c>
      <c r="C12" s="125"/>
      <c r="D12" s="125"/>
      <c r="E12" s="125"/>
      <c r="F12" s="125"/>
    </row>
    <row r="13" spans="1:14" ht="42" customHeight="1">
      <c r="A13" s="3" t="s">
        <v>8</v>
      </c>
      <c r="B13" s="4" t="s">
        <v>235</v>
      </c>
      <c r="C13" s="3" t="s">
        <v>264</v>
      </c>
      <c r="D13" s="47">
        <f>'1.1.'!C38</f>
        <v>71.62</v>
      </c>
      <c r="E13" s="5">
        <v>0</v>
      </c>
      <c r="F13" s="5">
        <f>D13+E13</f>
        <v>71.62</v>
      </c>
      <c r="G13" s="9"/>
    </row>
    <row r="14" spans="1:14" ht="34.5">
      <c r="A14" s="3" t="s">
        <v>9</v>
      </c>
      <c r="B14" s="4" t="s">
        <v>236</v>
      </c>
      <c r="C14" s="3" t="s">
        <v>264</v>
      </c>
      <c r="D14" s="47">
        <f>'1.2.'!C39</f>
        <v>156.11000000000001</v>
      </c>
      <c r="E14" s="5">
        <v>0</v>
      </c>
      <c r="F14" s="5">
        <f t="shared" ref="F14:F15" si="0">D14+E14</f>
        <v>156.11000000000001</v>
      </c>
      <c r="G14" s="9"/>
    </row>
    <row r="15" spans="1:14" ht="31.5">
      <c r="A15" s="3" t="s">
        <v>10</v>
      </c>
      <c r="B15" s="4" t="s">
        <v>237</v>
      </c>
      <c r="C15" s="3" t="s">
        <v>264</v>
      </c>
      <c r="D15" s="47">
        <f>'1.3.'!C37</f>
        <v>64.97</v>
      </c>
      <c r="E15" s="5">
        <v>0</v>
      </c>
      <c r="F15" s="5">
        <f t="shared" si="0"/>
        <v>64.97</v>
      </c>
      <c r="G15" s="9"/>
    </row>
    <row r="16" spans="1:14">
      <c r="A16" s="16" t="s">
        <v>11</v>
      </c>
      <c r="B16" s="126" t="s">
        <v>238</v>
      </c>
      <c r="C16" s="126"/>
      <c r="D16" s="126"/>
      <c r="E16" s="126"/>
      <c r="F16" s="126"/>
      <c r="G16" s="9"/>
    </row>
    <row r="17" spans="1:7" ht="18.75">
      <c r="A17" s="7" t="s">
        <v>12</v>
      </c>
      <c r="B17" s="8" t="s">
        <v>239</v>
      </c>
      <c r="C17" s="7" t="s">
        <v>265</v>
      </c>
      <c r="D17" s="47">
        <f>'2.1.'!C38</f>
        <v>63.26</v>
      </c>
      <c r="E17" s="5">
        <v>0</v>
      </c>
      <c r="F17" s="6">
        <f t="shared" ref="F17:F24" si="1">D17+E17</f>
        <v>63.26</v>
      </c>
      <c r="G17" s="9"/>
    </row>
    <row r="18" spans="1:7" ht="18.75">
      <c r="A18" s="7" t="s">
        <v>13</v>
      </c>
      <c r="B18" s="8" t="s">
        <v>373</v>
      </c>
      <c r="C18" s="7" t="s">
        <v>265</v>
      </c>
      <c r="D18" s="47">
        <f>'2.2.'!C38</f>
        <v>87.15</v>
      </c>
      <c r="E18" s="5">
        <v>0</v>
      </c>
      <c r="F18" s="6">
        <f t="shared" si="1"/>
        <v>87.15</v>
      </c>
      <c r="G18" s="9"/>
    </row>
    <row r="19" spans="1:7" ht="18.75">
      <c r="A19" s="7" t="s">
        <v>14</v>
      </c>
      <c r="B19" s="8" t="s">
        <v>240</v>
      </c>
      <c r="C19" s="7" t="s">
        <v>265</v>
      </c>
      <c r="D19" s="47">
        <f>'2.3.'!C38</f>
        <v>77.349999999999994</v>
      </c>
      <c r="E19" s="5">
        <v>0</v>
      </c>
      <c r="F19" s="6">
        <f t="shared" si="1"/>
        <v>77.349999999999994</v>
      </c>
      <c r="G19" s="9"/>
    </row>
    <row r="20" spans="1:7" ht="18.75">
      <c r="A20" s="7" t="s">
        <v>15</v>
      </c>
      <c r="B20" s="8" t="s">
        <v>374</v>
      </c>
      <c r="C20" s="7" t="s">
        <v>265</v>
      </c>
      <c r="D20" s="47">
        <f>'2.4.'!C38</f>
        <v>108.6</v>
      </c>
      <c r="E20" s="5">
        <v>0</v>
      </c>
      <c r="F20" s="6">
        <f t="shared" si="1"/>
        <v>108.6</v>
      </c>
      <c r="G20" s="9"/>
    </row>
    <row r="21" spans="1:7" ht="18.75">
      <c r="A21" s="7" t="s">
        <v>16</v>
      </c>
      <c r="B21" s="8" t="s">
        <v>241</v>
      </c>
      <c r="C21" s="7" t="s">
        <v>265</v>
      </c>
      <c r="D21" s="47">
        <f>'2.5.'!C38</f>
        <v>81.849999999999994</v>
      </c>
      <c r="E21" s="5">
        <v>0</v>
      </c>
      <c r="F21" s="6">
        <f t="shared" si="1"/>
        <v>81.849999999999994</v>
      </c>
      <c r="G21" s="9"/>
    </row>
    <row r="22" spans="1:7" ht="18.75">
      <c r="A22" s="7" t="s">
        <v>17</v>
      </c>
      <c r="B22" s="8" t="s">
        <v>375</v>
      </c>
      <c r="C22" s="7" t="s">
        <v>265</v>
      </c>
      <c r="D22" s="47">
        <f>'2.6.'!C38</f>
        <v>110.9</v>
      </c>
      <c r="E22" s="5">
        <v>0</v>
      </c>
      <c r="F22" s="6">
        <f t="shared" si="1"/>
        <v>110.9</v>
      </c>
      <c r="G22" s="9"/>
    </row>
    <row r="23" spans="1:7" ht="18.75">
      <c r="A23" s="7" t="s">
        <v>18</v>
      </c>
      <c r="B23" s="8" t="s">
        <v>242</v>
      </c>
      <c r="C23" s="7" t="s">
        <v>265</v>
      </c>
      <c r="D23" s="47">
        <f>'2.7.'!C38</f>
        <v>85.29</v>
      </c>
      <c r="E23" s="5">
        <v>0</v>
      </c>
      <c r="F23" s="6">
        <f t="shared" si="1"/>
        <v>85.29</v>
      </c>
      <c r="G23" s="9"/>
    </row>
    <row r="24" spans="1:7" ht="18.75">
      <c r="A24" s="7" t="s">
        <v>19</v>
      </c>
      <c r="B24" s="8" t="s">
        <v>376</v>
      </c>
      <c r="C24" s="7" t="s">
        <v>265</v>
      </c>
      <c r="D24" s="47">
        <f>'2.8.'!C38</f>
        <v>115.03</v>
      </c>
      <c r="E24" s="5">
        <v>0</v>
      </c>
      <c r="F24" s="6">
        <f t="shared" si="1"/>
        <v>115.03</v>
      </c>
      <c r="G24" s="9"/>
    </row>
    <row r="25" spans="1:7">
      <c r="A25" s="17" t="s">
        <v>42</v>
      </c>
      <c r="B25" s="123" t="s">
        <v>372</v>
      </c>
      <c r="C25" s="123"/>
      <c r="D25" s="123"/>
      <c r="E25" s="123"/>
      <c r="F25" s="123"/>
      <c r="G25" s="9"/>
    </row>
    <row r="26" spans="1:7" ht="18.75">
      <c r="A26" s="7" t="s">
        <v>20</v>
      </c>
      <c r="B26" s="8" t="s">
        <v>243</v>
      </c>
      <c r="C26" s="7" t="s">
        <v>265</v>
      </c>
      <c r="D26" s="47">
        <f>'3.1.'!C38</f>
        <v>79.739999999999995</v>
      </c>
      <c r="E26" s="5">
        <v>0</v>
      </c>
      <c r="F26" s="6">
        <f>SUM(D26:E26)</f>
        <v>79.739999999999995</v>
      </c>
      <c r="G26" s="9"/>
    </row>
    <row r="27" spans="1:7" ht="18.75">
      <c r="A27" s="7" t="s">
        <v>21</v>
      </c>
      <c r="B27" s="8" t="s">
        <v>244</v>
      </c>
      <c r="C27" s="7" t="s">
        <v>265</v>
      </c>
      <c r="D27" s="47">
        <f>'3.2.'!C38</f>
        <v>89.71</v>
      </c>
      <c r="E27" s="5">
        <v>0</v>
      </c>
      <c r="F27" s="6">
        <f>SUM(D27:E27)</f>
        <v>89.71</v>
      </c>
      <c r="G27" s="9"/>
    </row>
    <row r="28" spans="1:7" ht="18.75">
      <c r="A28" s="7" t="s">
        <v>22</v>
      </c>
      <c r="B28" s="8" t="s">
        <v>245</v>
      </c>
      <c r="C28" s="7" t="s">
        <v>265</v>
      </c>
      <c r="D28" s="47">
        <f>'3.3.'!C38</f>
        <v>94.43</v>
      </c>
      <c r="E28" s="5">
        <v>0</v>
      </c>
      <c r="F28" s="6">
        <f>SUM(D28:E28)</f>
        <v>94.43</v>
      </c>
      <c r="G28" s="9"/>
    </row>
    <row r="29" spans="1:7" ht="18.75">
      <c r="A29" s="7" t="s">
        <v>32</v>
      </c>
      <c r="B29" s="8" t="s">
        <v>246</v>
      </c>
      <c r="C29" s="7" t="s">
        <v>265</v>
      </c>
      <c r="D29" s="47">
        <f>'3.4.'!C39</f>
        <v>111.68</v>
      </c>
      <c r="E29" s="5">
        <v>0</v>
      </c>
      <c r="F29" s="6">
        <f>D29+E29</f>
        <v>111.68</v>
      </c>
      <c r="G29" s="9"/>
    </row>
    <row r="30" spans="1:7">
      <c r="A30" s="17" t="s">
        <v>43</v>
      </c>
      <c r="B30" s="123" t="s">
        <v>247</v>
      </c>
      <c r="C30" s="123"/>
      <c r="D30" s="123"/>
      <c r="E30" s="123"/>
      <c r="F30" s="123"/>
      <c r="G30" s="9"/>
    </row>
    <row r="31" spans="1:7" ht="18.75">
      <c r="A31" s="7" t="s">
        <v>23</v>
      </c>
      <c r="B31" s="8" t="s">
        <v>365</v>
      </c>
      <c r="C31" s="7" t="s">
        <v>265</v>
      </c>
      <c r="D31" s="47">
        <f>'4.1.'!C33</f>
        <v>57.57</v>
      </c>
      <c r="E31" s="5">
        <v>0</v>
      </c>
      <c r="F31" s="6">
        <f>D31+E31</f>
        <v>57.57</v>
      </c>
      <c r="G31" s="9"/>
    </row>
    <row r="32" spans="1:7" ht="29.25" customHeight="1">
      <c r="A32" s="7" t="s">
        <v>24</v>
      </c>
      <c r="B32" s="8" t="s">
        <v>366</v>
      </c>
      <c r="C32" s="7" t="s">
        <v>265</v>
      </c>
      <c r="D32" s="47">
        <f>'4.2.'!C33</f>
        <v>53.73</v>
      </c>
      <c r="E32" s="5">
        <v>0</v>
      </c>
      <c r="F32" s="6">
        <f t="shared" ref="F32:F41" si="2">D32+E32</f>
        <v>53.73</v>
      </c>
      <c r="G32" s="9"/>
    </row>
    <row r="33" spans="1:7" ht="38.25">
      <c r="A33" s="7" t="s">
        <v>33</v>
      </c>
      <c r="B33" s="8" t="s">
        <v>367</v>
      </c>
      <c r="C33" s="7" t="s">
        <v>265</v>
      </c>
      <c r="D33" s="47">
        <f>'4.3.'!C33</f>
        <v>48.88</v>
      </c>
      <c r="E33" s="5">
        <v>0</v>
      </c>
      <c r="F33" s="6">
        <f t="shared" si="2"/>
        <v>48.88</v>
      </c>
      <c r="G33" s="9"/>
    </row>
    <row r="34" spans="1:7" ht="38.25">
      <c r="A34" s="7" t="s">
        <v>34</v>
      </c>
      <c r="B34" s="8" t="s">
        <v>364</v>
      </c>
      <c r="C34" s="7" t="s">
        <v>265</v>
      </c>
      <c r="D34" s="47">
        <f>'4.4.'!C33</f>
        <v>34.56</v>
      </c>
      <c r="E34" s="5">
        <v>0</v>
      </c>
      <c r="F34" s="6">
        <f t="shared" si="2"/>
        <v>34.56</v>
      </c>
      <c r="G34" s="9"/>
    </row>
    <row r="35" spans="1:7" ht="22.5">
      <c r="A35" s="7" t="s">
        <v>35</v>
      </c>
      <c r="B35" s="8" t="s">
        <v>368</v>
      </c>
      <c r="C35" s="7" t="s">
        <v>265</v>
      </c>
      <c r="D35" s="47">
        <f>'4.5.'!C34</f>
        <v>37.01</v>
      </c>
      <c r="E35" s="5">
        <v>0</v>
      </c>
      <c r="F35" s="6">
        <f t="shared" si="2"/>
        <v>37.01</v>
      </c>
      <c r="G35" s="9"/>
    </row>
    <row r="36" spans="1:7" ht="18.75">
      <c r="A36" s="7" t="s">
        <v>36</v>
      </c>
      <c r="B36" s="8" t="s">
        <v>270</v>
      </c>
      <c r="C36" s="7" t="s">
        <v>265</v>
      </c>
      <c r="D36" s="47">
        <f>'4.6.'!C23</f>
        <v>33.6</v>
      </c>
      <c r="E36" s="5">
        <v>0</v>
      </c>
      <c r="F36" s="6">
        <f t="shared" si="2"/>
        <v>33.6</v>
      </c>
      <c r="G36" s="9"/>
    </row>
    <row r="37" spans="1:7" ht="22.5">
      <c r="A37" s="7" t="s">
        <v>37</v>
      </c>
      <c r="B37" s="8" t="s">
        <v>248</v>
      </c>
      <c r="C37" s="7" t="s">
        <v>265</v>
      </c>
      <c r="D37" s="47">
        <f>'4.7.'!C23</f>
        <v>31.1</v>
      </c>
      <c r="E37" s="5">
        <v>0</v>
      </c>
      <c r="F37" s="6">
        <f t="shared" si="2"/>
        <v>31.1</v>
      </c>
      <c r="G37" s="9"/>
    </row>
    <row r="38" spans="1:7" ht="22.5">
      <c r="A38" s="7" t="s">
        <v>38</v>
      </c>
      <c r="B38" s="8" t="s">
        <v>249</v>
      </c>
      <c r="C38" s="7" t="s">
        <v>265</v>
      </c>
      <c r="D38" s="47">
        <f>'4.8.'!C23</f>
        <v>19.48</v>
      </c>
      <c r="E38" s="5">
        <v>0</v>
      </c>
      <c r="F38" s="6">
        <f t="shared" si="2"/>
        <v>19.48</v>
      </c>
      <c r="G38" s="9"/>
    </row>
    <row r="39" spans="1:7" ht="22.5">
      <c r="A39" s="7" t="s">
        <v>39</v>
      </c>
      <c r="B39" s="8" t="s">
        <v>362</v>
      </c>
      <c r="C39" s="7" t="s">
        <v>265</v>
      </c>
      <c r="D39" s="47">
        <f>'4.9.'!C22</f>
        <v>14.48</v>
      </c>
      <c r="E39" s="5">
        <v>0</v>
      </c>
      <c r="F39" s="6">
        <f t="shared" si="2"/>
        <v>14.48</v>
      </c>
      <c r="G39" s="9"/>
    </row>
    <row r="40" spans="1:7" ht="22.5">
      <c r="A40" s="7" t="s">
        <v>40</v>
      </c>
      <c r="B40" s="8" t="s">
        <v>250</v>
      </c>
      <c r="C40" s="7" t="s">
        <v>265</v>
      </c>
      <c r="D40" s="47">
        <f>'4.10.'!C39</f>
        <v>153.57</v>
      </c>
      <c r="E40" s="5">
        <v>0</v>
      </c>
      <c r="F40" s="6">
        <f t="shared" si="2"/>
        <v>153.57</v>
      </c>
      <c r="G40" s="9"/>
    </row>
    <row r="41" spans="1:7" ht="22.5">
      <c r="A41" s="7" t="s">
        <v>41</v>
      </c>
      <c r="B41" s="8" t="s">
        <v>271</v>
      </c>
      <c r="C41" s="7" t="s">
        <v>266</v>
      </c>
      <c r="D41" s="47">
        <f>'4.11.'!C18</f>
        <v>0.26</v>
      </c>
      <c r="E41" s="5">
        <v>0</v>
      </c>
      <c r="F41" s="6">
        <f t="shared" si="2"/>
        <v>0.26</v>
      </c>
      <c r="G41" s="9"/>
    </row>
    <row r="42" spans="1:7">
      <c r="A42" s="17" t="s">
        <v>25</v>
      </c>
      <c r="B42" s="123" t="s">
        <v>251</v>
      </c>
      <c r="C42" s="123"/>
      <c r="D42" s="123"/>
      <c r="E42" s="123"/>
      <c r="F42" s="123"/>
      <c r="G42" s="9"/>
    </row>
    <row r="43" spans="1:7" ht="22.5">
      <c r="A43" s="7" t="s">
        <v>44</v>
      </c>
      <c r="B43" s="8" t="s">
        <v>272</v>
      </c>
      <c r="C43" s="7" t="s">
        <v>265</v>
      </c>
      <c r="D43" s="47">
        <f>'5.1.'!C38</f>
        <v>108.57</v>
      </c>
      <c r="E43" s="5">
        <v>0</v>
      </c>
      <c r="F43" s="6">
        <f>D43+E43</f>
        <v>108.57</v>
      </c>
      <c r="G43" s="9"/>
    </row>
    <row r="44" spans="1:7" ht="22.5">
      <c r="A44" s="7" t="s">
        <v>45</v>
      </c>
      <c r="B44" s="8" t="s">
        <v>377</v>
      </c>
      <c r="C44" s="7" t="s">
        <v>265</v>
      </c>
      <c r="D44" s="47">
        <f>'5.2.'!C37</f>
        <v>84.12</v>
      </c>
      <c r="E44" s="5">
        <v>0</v>
      </c>
      <c r="F44" s="6">
        <f t="shared" ref="F44:F47" si="3">D44+E44</f>
        <v>84.12</v>
      </c>
      <c r="G44" s="9"/>
    </row>
    <row r="45" spans="1:7" ht="22.5">
      <c r="A45" s="7" t="s">
        <v>46</v>
      </c>
      <c r="B45" s="8" t="s">
        <v>378</v>
      </c>
      <c r="C45" s="7" t="s">
        <v>265</v>
      </c>
      <c r="D45" s="47">
        <f>'5.3.'!C33</f>
        <v>56.65</v>
      </c>
      <c r="E45" s="5">
        <v>0</v>
      </c>
      <c r="F45" s="6">
        <f t="shared" si="3"/>
        <v>56.65</v>
      </c>
      <c r="G45" s="9"/>
    </row>
    <row r="46" spans="1:7" ht="22.5">
      <c r="A46" s="7" t="s">
        <v>47</v>
      </c>
      <c r="B46" s="8" t="s">
        <v>273</v>
      </c>
      <c r="C46" s="7" t="s">
        <v>265</v>
      </c>
      <c r="D46" s="47">
        <f>'5.4.'!C38</f>
        <v>77.650000000000006</v>
      </c>
      <c r="E46" s="5">
        <v>0</v>
      </c>
      <c r="F46" s="6">
        <f t="shared" si="3"/>
        <v>77.650000000000006</v>
      </c>
      <c r="G46" s="9"/>
    </row>
    <row r="47" spans="1:7" ht="22.5">
      <c r="A47" s="7" t="s">
        <v>48</v>
      </c>
      <c r="B47" s="8" t="s">
        <v>274</v>
      </c>
      <c r="C47" s="7" t="s">
        <v>267</v>
      </c>
      <c r="D47" s="47">
        <f>'5.5.'!C19</f>
        <v>33.93</v>
      </c>
      <c r="E47" s="5">
        <v>0</v>
      </c>
      <c r="F47" s="6">
        <f t="shared" si="3"/>
        <v>33.93</v>
      </c>
      <c r="G47" s="9"/>
    </row>
    <row r="48" spans="1:7" ht="17.25" customHeight="1">
      <c r="A48" s="17" t="s">
        <v>26</v>
      </c>
      <c r="B48" s="127" t="s">
        <v>275</v>
      </c>
      <c r="C48" s="128"/>
      <c r="D48" s="128"/>
      <c r="E48" s="128"/>
      <c r="F48" s="129"/>
      <c r="G48" s="9"/>
    </row>
    <row r="49" spans="1:7" ht="31.5">
      <c r="A49" s="11" t="s">
        <v>27</v>
      </c>
      <c r="B49" s="10" t="s">
        <v>252</v>
      </c>
      <c r="C49" s="7" t="s">
        <v>265</v>
      </c>
      <c r="D49" s="47">
        <f>'6.1.'!C19</f>
        <v>1.8</v>
      </c>
      <c r="E49" s="5">
        <v>0</v>
      </c>
      <c r="F49" s="6">
        <f t="shared" ref="F49:F59" si="4">D49+E49</f>
        <v>1.8</v>
      </c>
      <c r="G49" s="9"/>
    </row>
    <row r="50" spans="1:7" ht="31.5">
      <c r="A50" s="11" t="s">
        <v>28</v>
      </c>
      <c r="B50" s="10" t="s">
        <v>253</v>
      </c>
      <c r="C50" s="7" t="s">
        <v>265</v>
      </c>
      <c r="D50" s="47">
        <f>'6.2.'!C19</f>
        <v>2.6953857142857141</v>
      </c>
      <c r="E50" s="5">
        <v>0</v>
      </c>
      <c r="F50" s="6">
        <f t="shared" si="4"/>
        <v>2.6953857142857141</v>
      </c>
      <c r="G50" s="9"/>
    </row>
    <row r="51" spans="1:7" ht="31.5">
      <c r="A51" s="11" t="s">
        <v>29</v>
      </c>
      <c r="B51" s="10" t="s">
        <v>254</v>
      </c>
      <c r="C51" s="7" t="s">
        <v>265</v>
      </c>
      <c r="D51" s="47">
        <f>'6.3.'!C19</f>
        <v>2.0106047619047622</v>
      </c>
      <c r="E51" s="5">
        <v>0</v>
      </c>
      <c r="F51" s="6">
        <f t="shared" si="4"/>
        <v>2.0106047619047622</v>
      </c>
      <c r="G51" s="9"/>
    </row>
    <row r="52" spans="1:7">
      <c r="A52" s="11" t="s">
        <v>49</v>
      </c>
      <c r="B52" s="10" t="s">
        <v>255</v>
      </c>
      <c r="C52" s="7" t="s">
        <v>268</v>
      </c>
      <c r="D52" s="47">
        <f>'6.4.'!C19</f>
        <v>6.6930000000000005</v>
      </c>
      <c r="E52" s="5">
        <v>0</v>
      </c>
      <c r="F52" s="6">
        <f t="shared" si="4"/>
        <v>6.6930000000000005</v>
      </c>
      <c r="G52" s="9"/>
    </row>
    <row r="53" spans="1:7">
      <c r="A53" s="11" t="s">
        <v>50</v>
      </c>
      <c r="B53" s="10" t="s">
        <v>256</v>
      </c>
      <c r="C53" s="7" t="s">
        <v>269</v>
      </c>
      <c r="D53" s="47">
        <f>'6.5.'!C26</f>
        <v>440.93</v>
      </c>
      <c r="E53" s="5">
        <v>0</v>
      </c>
      <c r="F53" s="6">
        <f t="shared" si="4"/>
        <v>440.93</v>
      </c>
      <c r="G53" s="9"/>
    </row>
    <row r="54" spans="1:7">
      <c r="A54" s="11" t="s">
        <v>51</v>
      </c>
      <c r="B54" s="10" t="s">
        <v>257</v>
      </c>
      <c r="C54" s="7" t="s">
        <v>269</v>
      </c>
      <c r="D54" s="47">
        <f>'6.6.'!C26</f>
        <v>43.705249999999992</v>
      </c>
      <c r="E54" s="5">
        <v>0</v>
      </c>
      <c r="F54" s="6">
        <f t="shared" si="4"/>
        <v>43.705249999999992</v>
      </c>
      <c r="G54" s="9"/>
    </row>
    <row r="55" spans="1:7">
      <c r="A55" s="11" t="s">
        <v>52</v>
      </c>
      <c r="B55" s="10" t="s">
        <v>258</v>
      </c>
      <c r="C55" s="7" t="s">
        <v>269</v>
      </c>
      <c r="D55" s="47">
        <f>'6.7.'!C26</f>
        <v>123.72</v>
      </c>
      <c r="E55" s="5">
        <v>0</v>
      </c>
      <c r="F55" s="6">
        <f t="shared" si="4"/>
        <v>123.72</v>
      </c>
      <c r="G55" s="9"/>
    </row>
    <row r="56" spans="1:7">
      <c r="A56" s="11" t="s">
        <v>53</v>
      </c>
      <c r="B56" s="10" t="s">
        <v>259</v>
      </c>
      <c r="C56" s="7" t="s">
        <v>269</v>
      </c>
      <c r="D56" s="47">
        <f>'6.8.'!C20</f>
        <v>1033.1199999999999</v>
      </c>
      <c r="E56" s="5">
        <v>0</v>
      </c>
      <c r="F56" s="6">
        <f t="shared" si="4"/>
        <v>1033.1199999999999</v>
      </c>
      <c r="G56" s="9"/>
    </row>
    <row r="57" spans="1:7" ht="31.5">
      <c r="A57" s="11" t="s">
        <v>54</v>
      </c>
      <c r="B57" s="10" t="s">
        <v>260</v>
      </c>
      <c r="C57" s="7" t="s">
        <v>269</v>
      </c>
      <c r="D57" s="47">
        <f>'6.9.'!C20</f>
        <v>516.55999999999995</v>
      </c>
      <c r="E57" s="5">
        <v>0</v>
      </c>
      <c r="F57" s="6">
        <f t="shared" si="4"/>
        <v>516.55999999999995</v>
      </c>
      <c r="G57" s="9"/>
    </row>
    <row r="58" spans="1:7">
      <c r="A58" s="11" t="s">
        <v>55</v>
      </c>
      <c r="B58" s="10" t="s">
        <v>261</v>
      </c>
      <c r="C58" s="7" t="s">
        <v>269</v>
      </c>
      <c r="D58" s="47">
        <f>'6.10.'!C25</f>
        <v>195.24</v>
      </c>
      <c r="E58" s="5">
        <v>0</v>
      </c>
      <c r="F58" s="6">
        <f t="shared" si="4"/>
        <v>195.24</v>
      </c>
      <c r="G58" s="9"/>
    </row>
    <row r="59" spans="1:7">
      <c r="A59" s="11" t="s">
        <v>56</v>
      </c>
      <c r="B59" s="10" t="s">
        <v>262</v>
      </c>
      <c r="C59" s="7" t="s">
        <v>269</v>
      </c>
      <c r="D59" s="47">
        <f>'6.11.'!C25</f>
        <v>110.98</v>
      </c>
      <c r="E59" s="5">
        <v>0</v>
      </c>
      <c r="F59" s="6">
        <f t="shared" si="4"/>
        <v>110.98</v>
      </c>
      <c r="G59" s="9"/>
    </row>
    <row r="60" spans="1:7">
      <c r="A60" s="11" t="s">
        <v>57</v>
      </c>
      <c r="B60" s="10" t="s">
        <v>263</v>
      </c>
      <c r="C60" s="7" t="s">
        <v>276</v>
      </c>
      <c r="D60" s="48">
        <f>'6.12.'!C20</f>
        <v>1.1499999999999999</v>
      </c>
      <c r="E60" s="5">
        <v>0</v>
      </c>
      <c r="F60" s="12">
        <f>D60+E60</f>
        <v>1.1499999999999999</v>
      </c>
      <c r="G60" s="9"/>
    </row>
    <row r="61" spans="1:7">
      <c r="A61" s="124"/>
      <c r="B61" s="124"/>
      <c r="C61" s="124"/>
      <c r="D61" s="124"/>
      <c r="E61" s="124"/>
      <c r="F61" s="124"/>
      <c r="G61" s="118"/>
    </row>
    <row r="62" spans="1:7">
      <c r="A62" s="1" t="s">
        <v>223</v>
      </c>
    </row>
    <row r="63" spans="1:7" s="15" customFormat="1" ht="28.5">
      <c r="B63" s="107" t="s">
        <v>224</v>
      </c>
    </row>
    <row r="64" spans="1:7" s="15" customFormat="1" ht="28.5">
      <c r="B64" s="107" t="s">
        <v>225</v>
      </c>
    </row>
    <row r="65" spans="2:2" s="15" customFormat="1" ht="25.5">
      <c r="B65" s="107" t="s">
        <v>371</v>
      </c>
    </row>
    <row r="66" spans="2:2" s="15" customFormat="1" ht="41.25">
      <c r="B66" s="107" t="s">
        <v>226</v>
      </c>
    </row>
    <row r="67" spans="2:2" s="15" customFormat="1" ht="18.75" customHeight="1">
      <c r="B67" s="107" t="s">
        <v>227</v>
      </c>
    </row>
    <row r="68" spans="2:2" s="15" customFormat="1" ht="27" customHeight="1">
      <c r="B68" s="107" t="s">
        <v>228</v>
      </c>
    </row>
    <row r="69" spans="2:2" s="15" customFormat="1" ht="30" customHeight="1">
      <c r="B69" s="107" t="s">
        <v>229</v>
      </c>
    </row>
    <row r="70" spans="2:2" s="15" customFormat="1" ht="30.75" customHeight="1">
      <c r="B70" s="107" t="s">
        <v>230</v>
      </c>
    </row>
    <row r="71" spans="2:2" s="15" customFormat="1" ht="28.5">
      <c r="B71" s="107" t="s">
        <v>231</v>
      </c>
    </row>
    <row r="72" spans="2:2" s="15" customFormat="1" ht="28.5">
      <c r="B72" s="107" t="s">
        <v>232</v>
      </c>
    </row>
    <row r="73" spans="2:2" s="15" customFormat="1">
      <c r="B73" s="107" t="s">
        <v>233</v>
      </c>
    </row>
    <row r="74" spans="2:2" s="15" customFormat="1">
      <c r="B74" s="107" t="s">
        <v>277</v>
      </c>
    </row>
    <row r="75" spans="2:2" s="15" customFormat="1" ht="33.75" customHeight="1">
      <c r="B75" s="107" t="s">
        <v>278</v>
      </c>
    </row>
    <row r="76" spans="2:2" s="15" customFormat="1">
      <c r="B76" s="107" t="s">
        <v>279</v>
      </c>
    </row>
    <row r="77" spans="2:2" s="15" customFormat="1">
      <c r="B77" s="107" t="s">
        <v>280</v>
      </c>
    </row>
    <row r="78" spans="2:2" ht="42">
      <c r="B78" s="107" t="s">
        <v>379</v>
      </c>
    </row>
    <row r="79" spans="2:2" ht="29.25">
      <c r="B79" s="107" t="s">
        <v>380</v>
      </c>
    </row>
  </sheetData>
  <mergeCells count="16">
    <mergeCell ref="B42:F42"/>
    <mergeCell ref="A61:F61"/>
    <mergeCell ref="B12:F12"/>
    <mergeCell ref="B16:F16"/>
    <mergeCell ref="B25:F25"/>
    <mergeCell ref="B30:F30"/>
    <mergeCell ref="B48:F48"/>
    <mergeCell ref="D1:F1"/>
    <mergeCell ref="C2:F5"/>
    <mergeCell ref="A7:F7"/>
    <mergeCell ref="A10:A11"/>
    <mergeCell ref="B10:B11"/>
    <mergeCell ref="C10:C11"/>
    <mergeCell ref="D10:D11"/>
    <mergeCell ref="E10:E11"/>
    <mergeCell ref="F10:F11"/>
  </mergeCells>
  <pageMargins left="0.70866141732283472" right="0.70866141732283472" top="0.74803149606299213" bottom="0.74803149606299213" header="0.31496062992125984" footer="0.31496062992125984"/>
  <pageSetup paperSize="9" scale="5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3"/>
  </sheetPr>
  <dimension ref="A1:G42"/>
  <sheetViews>
    <sheetView zoomScale="80" zoomScaleNormal="80" workbookViewId="0">
      <selection activeCell="C40" sqref="C40"/>
    </sheetView>
  </sheetViews>
  <sheetFormatPr defaultColWidth="8.85546875" defaultRowHeight="15.75"/>
  <cols>
    <col min="1" max="1" width="14.85546875" style="1" customWidth="1"/>
    <col min="2" max="2" width="100" style="1" customWidth="1"/>
    <col min="3" max="3" width="19.85546875" style="1" customWidth="1"/>
    <col min="4" max="4" width="7.42578125" style="1" customWidth="1"/>
    <col min="5" max="16384" width="8.85546875" style="1"/>
  </cols>
  <sheetData>
    <row r="1" spans="1:5">
      <c r="A1" s="121" t="s">
        <v>58</v>
      </c>
      <c r="B1" s="121"/>
      <c r="C1" s="121"/>
      <c r="D1" s="18"/>
      <c r="E1" s="18"/>
    </row>
    <row r="3" spans="1:5">
      <c r="A3" s="134" t="s">
        <v>70</v>
      </c>
      <c r="B3" s="134"/>
      <c r="C3" s="134"/>
    </row>
    <row r="4" spans="1:5" ht="33.75" customHeight="1">
      <c r="A4" s="134" t="s">
        <v>101</v>
      </c>
      <c r="B4" s="134"/>
      <c r="C4" s="134"/>
    </row>
    <row r="5" spans="1:5">
      <c r="A5" s="134" t="s">
        <v>59</v>
      </c>
      <c r="B5" s="134"/>
      <c r="C5" s="134"/>
    </row>
    <row r="6" spans="1:5" ht="16.5" thickBot="1">
      <c r="A6" s="135" t="s">
        <v>188</v>
      </c>
      <c r="B6" s="135"/>
    </row>
    <row r="7" spans="1:5" ht="85.5" customHeight="1" thickBot="1">
      <c r="A7" s="19" t="s">
        <v>60</v>
      </c>
      <c r="B7" s="20" t="s">
        <v>61</v>
      </c>
      <c r="C7" s="20" t="s">
        <v>62</v>
      </c>
    </row>
    <row r="8" spans="1:5" ht="16.5" thickBot="1">
      <c r="A8" s="35"/>
      <c r="B8" s="36" t="s">
        <v>63</v>
      </c>
      <c r="C8" s="37"/>
      <c r="E8" s="95"/>
    </row>
    <row r="9" spans="1:5">
      <c r="A9" s="136" t="s">
        <v>74</v>
      </c>
      <c r="B9" s="39" t="s">
        <v>100</v>
      </c>
      <c r="C9" s="43">
        <f>ROUND(23.86*7,2)</f>
        <v>167.02</v>
      </c>
      <c r="D9" s="94"/>
      <c r="E9" s="95"/>
    </row>
    <row r="10" spans="1:5">
      <c r="A10" s="137"/>
      <c r="B10" s="40" t="s">
        <v>300</v>
      </c>
      <c r="C10" s="104">
        <f>ROUND(14.49*7,2)</f>
        <v>101.43</v>
      </c>
      <c r="D10" s="95"/>
      <c r="E10" s="95"/>
    </row>
    <row r="11" spans="1:5" ht="16.5" thickBot="1">
      <c r="A11" s="138"/>
      <c r="B11" s="41" t="s">
        <v>299</v>
      </c>
      <c r="C11" s="105">
        <f>ROUND(10.87*7,2)</f>
        <v>76.09</v>
      </c>
      <c r="D11" s="95"/>
      <c r="E11" s="95"/>
    </row>
    <row r="12" spans="1:5" ht="33" customHeight="1" thickBot="1">
      <c r="A12" s="21" t="s">
        <v>75</v>
      </c>
      <c r="B12" s="65" t="s">
        <v>73</v>
      </c>
      <c r="C12" s="27">
        <f>ROUND((C9+C10+C11)*0.2409,2)</f>
        <v>83</v>
      </c>
    </row>
    <row r="13" spans="1:5" ht="32.25" thickBot="1">
      <c r="A13" s="21" t="s">
        <v>76</v>
      </c>
      <c r="B13" s="24" t="s">
        <v>284</v>
      </c>
      <c r="C13" s="27">
        <f>ROUND(1.01*7,2)</f>
        <v>7.07</v>
      </c>
    </row>
    <row r="14" spans="1:5" ht="32.25" thickBot="1">
      <c r="A14" s="21" t="s">
        <v>78</v>
      </c>
      <c r="B14" s="24" t="s">
        <v>324</v>
      </c>
      <c r="C14" s="46">
        <f>ROUND((1.63+9.22)*7,2)</f>
        <v>75.95</v>
      </c>
    </row>
    <row r="15" spans="1:5" ht="32.25" thickBot="1">
      <c r="A15" s="21" t="s">
        <v>79</v>
      </c>
      <c r="B15" s="65" t="s">
        <v>290</v>
      </c>
      <c r="C15" s="27">
        <f>ROUND(1.24*7,2)</f>
        <v>8.68</v>
      </c>
    </row>
    <row r="16" spans="1:5" ht="32.25" thickBot="1">
      <c r="A16" s="21" t="s">
        <v>81</v>
      </c>
      <c r="B16" s="24" t="s">
        <v>286</v>
      </c>
      <c r="C16" s="27">
        <f>ROUND(1.71*7,2)</f>
        <v>11.97</v>
      </c>
    </row>
    <row r="17" spans="1:7" ht="32.25" thickBot="1">
      <c r="A17" s="21" t="s">
        <v>154</v>
      </c>
      <c r="B17" s="24" t="s">
        <v>325</v>
      </c>
      <c r="C17" s="27">
        <f>ROUND(1.37*7,2)</f>
        <v>9.59</v>
      </c>
    </row>
    <row r="18" spans="1:7" ht="32.25" thickBot="1">
      <c r="A18" s="21" t="s">
        <v>80</v>
      </c>
      <c r="B18" s="24" t="s">
        <v>326</v>
      </c>
      <c r="C18" s="46">
        <f>ROUND(5.41*7,2)</f>
        <v>37.869999999999997</v>
      </c>
    </row>
    <row r="19" spans="1:7" ht="16.5" thickBot="1">
      <c r="A19" s="21"/>
      <c r="B19" s="25" t="s">
        <v>64</v>
      </c>
      <c r="C19" s="26">
        <f>SUM(C9:C18)</f>
        <v>578.67000000000007</v>
      </c>
    </row>
    <row r="20" spans="1:7" ht="16.5" thickBot="1">
      <c r="A20" s="21"/>
      <c r="B20" s="25" t="s">
        <v>65</v>
      </c>
      <c r="C20" s="27"/>
    </row>
    <row r="21" spans="1:7" ht="32.25" thickBot="1">
      <c r="A21" s="21" t="s">
        <v>83</v>
      </c>
      <c r="B21" s="28" t="s">
        <v>147</v>
      </c>
      <c r="C21" s="27">
        <f>ROUND((C9+C10+C11)*0.25,2)</f>
        <v>86.14</v>
      </c>
    </row>
    <row r="22" spans="1:7" ht="32.25" thickBot="1">
      <c r="A22" s="21" t="s">
        <v>75</v>
      </c>
      <c r="B22" s="65" t="s">
        <v>73</v>
      </c>
      <c r="C22" s="27">
        <f>ROUND(C21*0.2409,2)</f>
        <v>20.75</v>
      </c>
    </row>
    <row r="23" spans="1:7" ht="32.25" thickBot="1">
      <c r="A23" s="21" t="s">
        <v>87</v>
      </c>
      <c r="B23" s="23" t="s">
        <v>310</v>
      </c>
      <c r="C23" s="27">
        <f>ROUND((39708/364914)*7,2)</f>
        <v>0.76</v>
      </c>
      <c r="E23" s="30"/>
    </row>
    <row r="24" spans="1:7" ht="32.25" thickBot="1">
      <c r="A24" s="21" t="s">
        <v>84</v>
      </c>
      <c r="B24" s="24" t="s">
        <v>293</v>
      </c>
      <c r="C24" s="27">
        <f>ROUND(2.23*7,2)</f>
        <v>15.61</v>
      </c>
    </row>
    <row r="25" spans="1:7" ht="32.25" thickBot="1">
      <c r="A25" s="21" t="s">
        <v>85</v>
      </c>
      <c r="B25" s="67" t="s">
        <v>294</v>
      </c>
      <c r="C25" s="27">
        <f>ROUND((234731/364914)*7,2)</f>
        <v>4.5</v>
      </c>
    </row>
    <row r="26" spans="1:7" ht="32.25" thickBot="1">
      <c r="A26" s="21" t="s">
        <v>81</v>
      </c>
      <c r="B26" s="29" t="s">
        <v>315</v>
      </c>
      <c r="C26" s="27">
        <f>ROUND(1.54*7,2)</f>
        <v>10.78</v>
      </c>
    </row>
    <row r="27" spans="1:7" ht="32.25" thickBot="1">
      <c r="A27" s="21" t="s">
        <v>77</v>
      </c>
      <c r="B27" s="65" t="s">
        <v>295</v>
      </c>
      <c r="C27" s="27">
        <f>ROUND(1.72*7,2)</f>
        <v>12.04</v>
      </c>
    </row>
    <row r="28" spans="1:7" ht="32.25" thickBot="1">
      <c r="A28" s="21" t="s">
        <v>133</v>
      </c>
      <c r="B28" s="24" t="s">
        <v>327</v>
      </c>
      <c r="C28" s="27">
        <f>ROUND((286606/364914)*7,2)</f>
        <v>5.5</v>
      </c>
    </row>
    <row r="29" spans="1:7" ht="32.25" thickBot="1">
      <c r="A29" s="21" t="s">
        <v>131</v>
      </c>
      <c r="B29" s="24" t="s">
        <v>297</v>
      </c>
      <c r="C29" s="27">
        <f>ROUND((157571/364914)*7,2)</f>
        <v>3.02</v>
      </c>
    </row>
    <row r="30" spans="1:7" ht="32.25" thickBot="1">
      <c r="A30" s="21" t="s">
        <v>86</v>
      </c>
      <c r="B30" s="24" t="s">
        <v>298</v>
      </c>
      <c r="C30" s="27">
        <f>ROUND((46423/364914)*7,2)</f>
        <v>0.89</v>
      </c>
    </row>
    <row r="31" spans="1:7" ht="32.25" thickBot="1">
      <c r="A31" s="21" t="s">
        <v>82</v>
      </c>
      <c r="B31" s="65" t="s">
        <v>354</v>
      </c>
      <c r="C31" s="27">
        <f>ROUND(( 42368/364914)*7,2)</f>
        <v>0.81</v>
      </c>
    </row>
    <row r="32" spans="1:7" ht="48" thickBot="1">
      <c r="A32" s="21" t="s">
        <v>155</v>
      </c>
      <c r="B32" s="65" t="s">
        <v>363</v>
      </c>
      <c r="C32" s="27">
        <f>ROUND(1.12*7+4.14*7,2)</f>
        <v>36.82</v>
      </c>
      <c r="G32" s="9"/>
    </row>
    <row r="33" spans="1:6" ht="16.5" thickBot="1">
      <c r="A33" s="21"/>
      <c r="B33" s="22" t="s">
        <v>66</v>
      </c>
      <c r="C33" s="26">
        <f>SUM(C21:C32)</f>
        <v>197.61999999999998</v>
      </c>
    </row>
    <row r="34" spans="1:6" ht="16.5" thickBot="1">
      <c r="A34" s="21"/>
      <c r="B34" s="31" t="s">
        <v>67</v>
      </c>
      <c r="C34" s="26">
        <f>C33+C19</f>
        <v>776.29000000000008</v>
      </c>
    </row>
    <row r="35" spans="1:6">
      <c r="C35" s="9"/>
    </row>
    <row r="36" spans="1:6" ht="16.5" thickBot="1">
      <c r="C36" s="9"/>
    </row>
    <row r="37" spans="1:6" ht="16.5" thickBot="1">
      <c r="A37" s="130" t="s">
        <v>68</v>
      </c>
      <c r="B37" s="131"/>
      <c r="C37" s="32">
        <v>7</v>
      </c>
    </row>
    <row r="38" spans="1:6" ht="16.5" thickBot="1">
      <c r="A38" s="130" t="s">
        <v>69</v>
      </c>
      <c r="B38" s="131"/>
      <c r="C38" s="33">
        <f>ROUND(C34/C37,2)</f>
        <v>110.9</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sheetPr>
  <dimension ref="A1:G42"/>
  <sheetViews>
    <sheetView zoomScale="80" zoomScaleNormal="80" workbookViewId="0">
      <selection activeCell="C40" sqref="C40"/>
    </sheetView>
  </sheetViews>
  <sheetFormatPr defaultColWidth="8.85546875" defaultRowHeight="15.75"/>
  <cols>
    <col min="1" max="1" width="16.7109375" style="1" customWidth="1"/>
    <col min="2" max="2" width="106.85546875" style="1" customWidth="1"/>
    <col min="3" max="3" width="19.85546875" style="1" customWidth="1"/>
    <col min="4" max="4" width="8.28515625" style="1" customWidth="1"/>
    <col min="5" max="5" width="7.85546875" style="1" customWidth="1"/>
    <col min="6" max="16384" width="8.85546875" style="1"/>
  </cols>
  <sheetData>
    <row r="1" spans="1:5">
      <c r="A1" s="121" t="s">
        <v>58</v>
      </c>
      <c r="B1" s="121"/>
      <c r="C1" s="121"/>
      <c r="D1" s="18"/>
      <c r="E1" s="18"/>
    </row>
    <row r="3" spans="1:5">
      <c r="A3" s="134" t="s">
        <v>70</v>
      </c>
      <c r="B3" s="134"/>
      <c r="C3" s="134"/>
    </row>
    <row r="4" spans="1:5" ht="33.75" customHeight="1">
      <c r="A4" s="134" t="s">
        <v>102</v>
      </c>
      <c r="B4" s="134"/>
      <c r="C4" s="134"/>
    </row>
    <row r="5" spans="1:5">
      <c r="A5" s="134" t="s">
        <v>59</v>
      </c>
      <c r="B5" s="134"/>
      <c r="C5" s="134"/>
    </row>
    <row r="6" spans="1:5" ht="16.5" thickBot="1">
      <c r="A6" s="135" t="s">
        <v>184</v>
      </c>
      <c r="B6" s="135"/>
    </row>
    <row r="7" spans="1:5" ht="93" customHeight="1" thickBot="1">
      <c r="A7" s="19" t="s">
        <v>60</v>
      </c>
      <c r="B7" s="20" t="s">
        <v>61</v>
      </c>
      <c r="C7" s="20" t="s">
        <v>62</v>
      </c>
    </row>
    <row r="8" spans="1:5" ht="16.5" thickBot="1">
      <c r="A8" s="35"/>
      <c r="B8" s="36" t="s">
        <v>63</v>
      </c>
      <c r="C8" s="37"/>
      <c r="E8" s="95"/>
    </row>
    <row r="9" spans="1:5">
      <c r="A9" s="136" t="s">
        <v>74</v>
      </c>
      <c r="B9" s="39" t="s">
        <v>89</v>
      </c>
      <c r="C9" s="43">
        <f>ROUND(15.51*97,2)</f>
        <v>1504.47</v>
      </c>
      <c r="D9" s="94"/>
      <c r="E9" s="95"/>
    </row>
    <row r="10" spans="1:5">
      <c r="A10" s="137"/>
      <c r="B10" s="40" t="s">
        <v>300</v>
      </c>
      <c r="C10" s="104">
        <f>ROUND(8.98*97,2)</f>
        <v>871.06</v>
      </c>
      <c r="D10" s="95"/>
      <c r="E10" s="95"/>
    </row>
    <row r="11" spans="1:5" ht="16.5" thickBot="1">
      <c r="A11" s="138"/>
      <c r="B11" s="41" t="s">
        <v>299</v>
      </c>
      <c r="C11" s="105">
        <f>ROUND(6.73*97,2)</f>
        <v>652.80999999999995</v>
      </c>
      <c r="D11" s="95"/>
      <c r="E11" s="95"/>
    </row>
    <row r="12" spans="1:5" ht="28.5" customHeight="1" thickBot="1">
      <c r="A12" s="21" t="s">
        <v>75</v>
      </c>
      <c r="B12" s="65" t="s">
        <v>73</v>
      </c>
      <c r="C12" s="27">
        <f>ROUND((C9+C10+C11)*0.2409,2)</f>
        <v>729.53</v>
      </c>
    </row>
    <row r="13" spans="1:5" ht="32.25" thickBot="1">
      <c r="A13" s="21" t="s">
        <v>76</v>
      </c>
      <c r="B13" s="24" t="s">
        <v>284</v>
      </c>
      <c r="C13" s="27">
        <f>ROUND(1.01*97,2)</f>
        <v>97.97</v>
      </c>
    </row>
    <row r="14" spans="1:5" ht="32.25" thickBot="1">
      <c r="A14" s="21" t="s">
        <v>78</v>
      </c>
      <c r="B14" s="24" t="s">
        <v>328</v>
      </c>
      <c r="C14" s="46">
        <f>ROUND((1.63+11.52)*97,2)</f>
        <v>1275.55</v>
      </c>
    </row>
    <row r="15" spans="1:5" ht="32.25" thickBot="1">
      <c r="A15" s="21" t="s">
        <v>79</v>
      </c>
      <c r="B15" s="65" t="s">
        <v>290</v>
      </c>
      <c r="C15" s="27">
        <f>ROUND((452717/364914)*97,2)</f>
        <v>120.34</v>
      </c>
    </row>
    <row r="16" spans="1:5" ht="32.25" thickBot="1">
      <c r="A16" s="21" t="s">
        <v>81</v>
      </c>
      <c r="B16" s="24" t="s">
        <v>286</v>
      </c>
      <c r="C16" s="27">
        <f>ROUND(1.71*97,2)</f>
        <v>165.87</v>
      </c>
    </row>
    <row r="17" spans="1:7" ht="32.25" thickBot="1">
      <c r="A17" s="21" t="s">
        <v>154</v>
      </c>
      <c r="B17" s="24" t="s">
        <v>325</v>
      </c>
      <c r="C17" s="27">
        <f>ROUND(1.37*97,2)</f>
        <v>132.88999999999999</v>
      </c>
    </row>
    <row r="18" spans="1:7" ht="32.25" thickBot="1">
      <c r="A18" s="21" t="s">
        <v>80</v>
      </c>
      <c r="B18" s="24" t="s">
        <v>288</v>
      </c>
      <c r="C18" s="46">
        <f>ROUND(5.41*97,2)</f>
        <v>524.77</v>
      </c>
    </row>
    <row r="19" spans="1:7" ht="16.5" thickBot="1">
      <c r="A19" s="21"/>
      <c r="B19" s="25" t="s">
        <v>64</v>
      </c>
      <c r="C19" s="26">
        <f>SUM(C9:C18)</f>
        <v>6075.26</v>
      </c>
    </row>
    <row r="20" spans="1:7" ht="16.5" thickBot="1">
      <c r="A20" s="21"/>
      <c r="B20" s="25" t="s">
        <v>65</v>
      </c>
      <c r="C20" s="27"/>
    </row>
    <row r="21" spans="1:7" ht="24" customHeight="1" thickBot="1">
      <c r="A21" s="21" t="s">
        <v>83</v>
      </c>
      <c r="B21" s="28" t="s">
        <v>147</v>
      </c>
      <c r="C21" s="27">
        <f>ROUND((C9+C10+C11)*0.25,2)</f>
        <v>757.09</v>
      </c>
    </row>
    <row r="22" spans="1:7" ht="27" customHeight="1" thickBot="1">
      <c r="A22" s="21" t="s">
        <v>75</v>
      </c>
      <c r="B22" s="65" t="s">
        <v>73</v>
      </c>
      <c r="C22" s="27">
        <f>ROUND(C21*0.2409,2)</f>
        <v>182.38</v>
      </c>
    </row>
    <row r="23" spans="1:7" ht="32.25" thickBot="1">
      <c r="A23" s="21" t="s">
        <v>87</v>
      </c>
      <c r="B23" s="23" t="s">
        <v>292</v>
      </c>
      <c r="C23" s="27">
        <f>ROUND((39708/364914)*97,2)</f>
        <v>10.56</v>
      </c>
      <c r="E23" s="30"/>
    </row>
    <row r="24" spans="1:7" ht="32.25" thickBot="1">
      <c r="A24" s="21" t="s">
        <v>84</v>
      </c>
      <c r="B24" s="24" t="s">
        <v>293</v>
      </c>
      <c r="C24" s="27">
        <f>ROUND(2.23*97,2)</f>
        <v>216.31</v>
      </c>
    </row>
    <row r="25" spans="1:7" ht="32.25" thickBot="1">
      <c r="A25" s="21" t="s">
        <v>85</v>
      </c>
      <c r="B25" s="67" t="s">
        <v>294</v>
      </c>
      <c r="C25" s="27">
        <f>ROUND((234731/364914)*97,2)</f>
        <v>62.4</v>
      </c>
    </row>
    <row r="26" spans="1:7" ht="32.25" thickBot="1">
      <c r="A26" s="21" t="s">
        <v>81</v>
      </c>
      <c r="B26" s="29" t="s">
        <v>303</v>
      </c>
      <c r="C26" s="27">
        <f>ROUND(1.54*97,2)</f>
        <v>149.38</v>
      </c>
    </row>
    <row r="27" spans="1:7" ht="32.25" thickBot="1">
      <c r="A27" s="21" t="s">
        <v>77</v>
      </c>
      <c r="B27" s="65" t="s">
        <v>295</v>
      </c>
      <c r="C27" s="27">
        <f>ROUND(1.72*97,2)</f>
        <v>166.84</v>
      </c>
    </row>
    <row r="28" spans="1:7" ht="34.5" customHeight="1" thickBot="1">
      <c r="A28" s="21" t="s">
        <v>133</v>
      </c>
      <c r="B28" s="65" t="s">
        <v>304</v>
      </c>
      <c r="C28" s="27">
        <f>ROUND(0.79*97,2)</f>
        <v>76.63</v>
      </c>
    </row>
    <row r="29" spans="1:7" ht="32.25" thickBot="1">
      <c r="A29" s="21" t="s">
        <v>131</v>
      </c>
      <c r="B29" s="24" t="s">
        <v>297</v>
      </c>
      <c r="C29" s="27">
        <f>ROUND(0.43*97,2)</f>
        <v>41.71</v>
      </c>
    </row>
    <row r="30" spans="1:7" ht="32.25" thickBot="1">
      <c r="A30" s="21" t="s">
        <v>86</v>
      </c>
      <c r="B30" s="24" t="s">
        <v>298</v>
      </c>
      <c r="C30" s="27">
        <f>ROUND(0.13*97,2)</f>
        <v>12.61</v>
      </c>
    </row>
    <row r="31" spans="1:7" ht="32.25" thickBot="1">
      <c r="A31" s="21" t="s">
        <v>82</v>
      </c>
      <c r="B31" s="65" t="s">
        <v>354</v>
      </c>
      <c r="C31" s="27">
        <f>ROUND((42368/364914)*97,2)</f>
        <v>11.26</v>
      </c>
    </row>
    <row r="32" spans="1:7" ht="48" thickBot="1">
      <c r="A32" s="21" t="s">
        <v>155</v>
      </c>
      <c r="B32" s="65" t="s">
        <v>363</v>
      </c>
      <c r="C32" s="27">
        <f>ROUND(1.12*97+4.14*97,2)</f>
        <v>510.22</v>
      </c>
      <c r="G32" s="9"/>
    </row>
    <row r="33" spans="1:6" ht="16.5" thickBot="1">
      <c r="A33" s="21"/>
      <c r="B33" s="22" t="s">
        <v>66</v>
      </c>
      <c r="C33" s="26">
        <f>SUM(C21:C32)</f>
        <v>2197.3899999999994</v>
      </c>
    </row>
    <row r="34" spans="1:6" ht="16.5" thickBot="1">
      <c r="A34" s="21"/>
      <c r="B34" s="31" t="s">
        <v>67</v>
      </c>
      <c r="C34" s="26">
        <f>C33+C19</f>
        <v>8272.65</v>
      </c>
    </row>
    <row r="35" spans="1:6">
      <c r="C35" s="9"/>
    </row>
    <row r="36" spans="1:6" ht="16.5" thickBot="1">
      <c r="C36" s="9"/>
    </row>
    <row r="37" spans="1:6" ht="16.5" thickBot="1">
      <c r="A37" s="130" t="s">
        <v>68</v>
      </c>
      <c r="B37" s="131"/>
      <c r="C37" s="32">
        <v>97</v>
      </c>
    </row>
    <row r="38" spans="1:6" ht="16.5" thickBot="1">
      <c r="A38" s="130" t="s">
        <v>69</v>
      </c>
      <c r="B38" s="131"/>
      <c r="C38" s="33">
        <f>ROUND(C34/C37,2)</f>
        <v>85.29</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1"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3"/>
  </sheetPr>
  <dimension ref="A1:G42"/>
  <sheetViews>
    <sheetView zoomScale="80" zoomScaleNormal="80" workbookViewId="0">
      <selection activeCell="C40" sqref="C40"/>
    </sheetView>
  </sheetViews>
  <sheetFormatPr defaultColWidth="8.85546875" defaultRowHeight="15.75"/>
  <cols>
    <col min="1" max="1" width="13.85546875" style="1" customWidth="1"/>
    <col min="2" max="2" width="99.42578125" style="1" customWidth="1"/>
    <col min="3" max="3" width="19.85546875" style="1" customWidth="1"/>
    <col min="4" max="4" width="8.42578125" style="1" customWidth="1"/>
    <col min="5" max="5" width="8.28515625" style="1" customWidth="1"/>
    <col min="6" max="16384" width="8.85546875" style="1"/>
  </cols>
  <sheetData>
    <row r="1" spans="1:5">
      <c r="A1" s="121" t="s">
        <v>58</v>
      </c>
      <c r="B1" s="121"/>
      <c r="C1" s="121"/>
      <c r="D1" s="18"/>
      <c r="E1" s="18"/>
    </row>
    <row r="3" spans="1:5">
      <c r="A3" s="134" t="s">
        <v>70</v>
      </c>
      <c r="B3" s="134"/>
      <c r="C3" s="134"/>
    </row>
    <row r="4" spans="1:5" ht="33.75" customHeight="1">
      <c r="A4" s="134" t="s">
        <v>103</v>
      </c>
      <c r="B4" s="134"/>
      <c r="C4" s="134"/>
    </row>
    <row r="5" spans="1:5">
      <c r="A5" s="134" t="s">
        <v>59</v>
      </c>
      <c r="B5" s="134"/>
      <c r="C5" s="134"/>
    </row>
    <row r="6" spans="1:5" ht="16.5" thickBot="1">
      <c r="A6" s="135" t="s">
        <v>188</v>
      </c>
      <c r="B6" s="135"/>
    </row>
    <row r="7" spans="1:5" ht="85.5" customHeight="1" thickBot="1">
      <c r="A7" s="19" t="s">
        <v>60</v>
      </c>
      <c r="B7" s="20" t="s">
        <v>61</v>
      </c>
      <c r="C7" s="20" t="s">
        <v>62</v>
      </c>
    </row>
    <row r="8" spans="1:5" ht="16.5" thickBot="1">
      <c r="A8" s="35"/>
      <c r="B8" s="36" t="s">
        <v>63</v>
      </c>
      <c r="C8" s="37"/>
      <c r="D8" s="95"/>
      <c r="E8" s="95"/>
    </row>
    <row r="9" spans="1:5">
      <c r="A9" s="136" t="s">
        <v>74</v>
      </c>
      <c r="B9" s="39" t="s">
        <v>89</v>
      </c>
      <c r="C9" s="43">
        <f>ROUND(25.04*7,2)</f>
        <v>175.28</v>
      </c>
      <c r="D9" s="94"/>
      <c r="E9" s="95"/>
    </row>
    <row r="10" spans="1:5">
      <c r="A10" s="137"/>
      <c r="B10" s="40" t="s">
        <v>300</v>
      </c>
      <c r="C10" s="104">
        <f>ROUND(14.49*7,2)</f>
        <v>101.43</v>
      </c>
      <c r="D10" s="95"/>
      <c r="E10" s="95"/>
    </row>
    <row r="11" spans="1:5" ht="16.5" thickBot="1">
      <c r="A11" s="138"/>
      <c r="B11" s="41" t="s">
        <v>299</v>
      </c>
      <c r="C11" s="105">
        <f>ROUND(10.87*7,2)</f>
        <v>76.09</v>
      </c>
      <c r="D11" s="95"/>
      <c r="E11" s="95"/>
    </row>
    <row r="12" spans="1:5" ht="32.25" thickBot="1">
      <c r="A12" s="21" t="s">
        <v>75</v>
      </c>
      <c r="B12" s="28" t="s">
        <v>73</v>
      </c>
      <c r="C12" s="27">
        <f>ROUND((C9+C10+C11)*0.2409,2)</f>
        <v>84.99</v>
      </c>
    </row>
    <row r="13" spans="1:5" ht="32.25" thickBot="1">
      <c r="A13" s="21" t="s">
        <v>76</v>
      </c>
      <c r="B13" s="24" t="s">
        <v>284</v>
      </c>
      <c r="C13" s="27">
        <f>ROUND(1.01*7,2)</f>
        <v>7.07</v>
      </c>
    </row>
    <row r="14" spans="1:5" ht="32.25" thickBot="1">
      <c r="A14" s="21" t="s">
        <v>78</v>
      </c>
      <c r="B14" s="24" t="s">
        <v>328</v>
      </c>
      <c r="C14" s="46">
        <f>ROUND((1.63+11.52)*7,2)</f>
        <v>92.05</v>
      </c>
    </row>
    <row r="15" spans="1:5" ht="32.25" thickBot="1">
      <c r="A15" s="21" t="s">
        <v>79</v>
      </c>
      <c r="B15" s="65" t="s">
        <v>290</v>
      </c>
      <c r="C15" s="27">
        <f>ROUND(1.24*7,2)</f>
        <v>8.68</v>
      </c>
    </row>
    <row r="16" spans="1:5" ht="32.25" thickBot="1">
      <c r="A16" s="21" t="s">
        <v>81</v>
      </c>
      <c r="B16" s="24" t="s">
        <v>286</v>
      </c>
      <c r="C16" s="27">
        <f>ROUND(1.71*7,2)</f>
        <v>11.97</v>
      </c>
    </row>
    <row r="17" spans="1:7" ht="32.25" thickBot="1">
      <c r="A17" s="21" t="s">
        <v>154</v>
      </c>
      <c r="B17" s="24" t="s">
        <v>287</v>
      </c>
      <c r="C17" s="27">
        <f>ROUND(1.37*7,2)</f>
        <v>9.59</v>
      </c>
    </row>
    <row r="18" spans="1:7" ht="32.25" thickBot="1">
      <c r="A18" s="21" t="s">
        <v>80</v>
      </c>
      <c r="B18" s="24" t="s">
        <v>326</v>
      </c>
      <c r="C18" s="46">
        <f>ROUND(5.41*7,2)</f>
        <v>37.869999999999997</v>
      </c>
    </row>
    <row r="19" spans="1:7" ht="16.5" thickBot="1">
      <c r="A19" s="21"/>
      <c r="B19" s="25" t="s">
        <v>64</v>
      </c>
      <c r="C19" s="26">
        <f>SUM(C9:C18)</f>
        <v>605.0200000000001</v>
      </c>
    </row>
    <row r="20" spans="1:7" ht="16.5" thickBot="1">
      <c r="A20" s="21"/>
      <c r="B20" s="25" t="s">
        <v>65</v>
      </c>
      <c r="C20" s="27"/>
    </row>
    <row r="21" spans="1:7" ht="32.25" thickBot="1">
      <c r="A21" s="21" t="s">
        <v>83</v>
      </c>
      <c r="B21" s="28" t="s">
        <v>147</v>
      </c>
      <c r="C21" s="27">
        <f>ROUND((C9+C10+C11)*0.25,2)</f>
        <v>88.2</v>
      </c>
    </row>
    <row r="22" spans="1:7" ht="32.25" thickBot="1">
      <c r="A22" s="21" t="s">
        <v>75</v>
      </c>
      <c r="B22" s="24" t="s">
        <v>73</v>
      </c>
      <c r="C22" s="27">
        <f>ROUND(C21*0.2409,2)</f>
        <v>21.25</v>
      </c>
    </row>
    <row r="23" spans="1:7" ht="32.25" thickBot="1">
      <c r="A23" s="21" t="s">
        <v>87</v>
      </c>
      <c r="B23" s="23" t="s">
        <v>292</v>
      </c>
      <c r="C23" s="27">
        <f>ROUND(0.11*7,2)</f>
        <v>0.77</v>
      </c>
      <c r="E23" s="30"/>
    </row>
    <row r="24" spans="1:7" ht="32.25" thickBot="1">
      <c r="A24" s="21" t="s">
        <v>84</v>
      </c>
      <c r="B24" s="24" t="s">
        <v>293</v>
      </c>
      <c r="C24" s="27">
        <f>ROUND(2.23*7,2)</f>
        <v>15.61</v>
      </c>
    </row>
    <row r="25" spans="1:7" ht="32.25" thickBot="1">
      <c r="A25" s="21" t="s">
        <v>85</v>
      </c>
      <c r="B25" s="67" t="s">
        <v>294</v>
      </c>
      <c r="C25" s="27">
        <f>ROUND(0.64*7,2)</f>
        <v>4.4800000000000004</v>
      </c>
    </row>
    <row r="26" spans="1:7" ht="32.25" thickBot="1">
      <c r="A26" s="21" t="s">
        <v>81</v>
      </c>
      <c r="B26" s="29" t="s">
        <v>303</v>
      </c>
      <c r="C26" s="27">
        <f>ROUND(1.54*7,2)</f>
        <v>10.78</v>
      </c>
    </row>
    <row r="27" spans="1:7" ht="32.25" thickBot="1">
      <c r="A27" s="21" t="s">
        <v>77</v>
      </c>
      <c r="B27" s="24" t="s">
        <v>295</v>
      </c>
      <c r="C27" s="27">
        <f>ROUND(1.72*7,2)</f>
        <v>12.04</v>
      </c>
    </row>
    <row r="28" spans="1:7" ht="32.25" thickBot="1">
      <c r="A28" s="21" t="s">
        <v>133</v>
      </c>
      <c r="B28" s="65" t="s">
        <v>304</v>
      </c>
      <c r="C28" s="27">
        <f>ROUND(0.79*7,2)</f>
        <v>5.53</v>
      </c>
    </row>
    <row r="29" spans="1:7" ht="32.25" thickBot="1">
      <c r="A29" s="21" t="s">
        <v>131</v>
      </c>
      <c r="B29" s="24" t="s">
        <v>305</v>
      </c>
      <c r="C29" s="27">
        <f>ROUND(0.43*7,2)</f>
        <v>3.01</v>
      </c>
    </row>
    <row r="30" spans="1:7" ht="32.25" thickBot="1">
      <c r="A30" s="21" t="s">
        <v>86</v>
      </c>
      <c r="B30" s="24" t="s">
        <v>298</v>
      </c>
      <c r="C30" s="27">
        <f>ROUND((46423/364914)*7,2)</f>
        <v>0.89</v>
      </c>
    </row>
    <row r="31" spans="1:7" ht="32.25" thickBot="1">
      <c r="A31" s="21" t="s">
        <v>82</v>
      </c>
      <c r="B31" s="65" t="s">
        <v>354</v>
      </c>
      <c r="C31" s="27">
        <f>ROUND(0.12*7,2)</f>
        <v>0.84</v>
      </c>
    </row>
    <row r="32" spans="1:7" ht="48" thickBot="1">
      <c r="A32" s="21" t="s">
        <v>155</v>
      </c>
      <c r="B32" s="65" t="s">
        <v>363</v>
      </c>
      <c r="C32" s="27">
        <f>ROUND(1.12*7+4.14*7,2)</f>
        <v>36.82</v>
      </c>
      <c r="G32" s="9"/>
    </row>
    <row r="33" spans="1:6" ht="16.5" thickBot="1">
      <c r="A33" s="21"/>
      <c r="B33" s="22" t="s">
        <v>66</v>
      </c>
      <c r="C33" s="26">
        <f>SUM(C21:C32)</f>
        <v>200.21999999999997</v>
      </c>
    </row>
    <row r="34" spans="1:6" ht="16.5" thickBot="1">
      <c r="A34" s="21"/>
      <c r="B34" s="31" t="s">
        <v>67</v>
      </c>
      <c r="C34" s="26">
        <f>C33+C19</f>
        <v>805.24</v>
      </c>
    </row>
    <row r="35" spans="1:6">
      <c r="C35" s="9"/>
    </row>
    <row r="36" spans="1:6" ht="16.5" thickBot="1">
      <c r="C36" s="9"/>
    </row>
    <row r="37" spans="1:6" ht="16.5" thickBot="1">
      <c r="A37" s="130" t="s">
        <v>68</v>
      </c>
      <c r="B37" s="131"/>
      <c r="C37" s="32">
        <v>7</v>
      </c>
    </row>
    <row r="38" spans="1:6" ht="16.5" thickBot="1">
      <c r="A38" s="130" t="s">
        <v>69</v>
      </c>
      <c r="B38" s="131"/>
      <c r="C38" s="33">
        <f>ROUND(C34/C37,2)</f>
        <v>115.03</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G45"/>
  <sheetViews>
    <sheetView zoomScale="80" zoomScaleNormal="80" workbookViewId="0">
      <selection activeCell="C40" sqref="C40"/>
    </sheetView>
  </sheetViews>
  <sheetFormatPr defaultColWidth="8.85546875" defaultRowHeight="15.75"/>
  <cols>
    <col min="1" max="1" width="15.5703125" style="1" customWidth="1"/>
    <col min="2" max="2" width="98.140625" style="1" customWidth="1"/>
    <col min="3" max="3" width="19.85546875" style="1" customWidth="1"/>
    <col min="4" max="4" width="13.42578125" style="1" customWidth="1"/>
    <col min="5" max="5" width="8" style="1" customWidth="1"/>
    <col min="6" max="16384" width="8.85546875" style="1"/>
  </cols>
  <sheetData>
    <row r="1" spans="1:5">
      <c r="A1" s="121" t="s">
        <v>58</v>
      </c>
      <c r="B1" s="121"/>
      <c r="C1" s="121"/>
      <c r="D1" s="18"/>
      <c r="E1" s="18"/>
    </row>
    <row r="3" spans="1:5">
      <c r="A3" s="134" t="s">
        <v>70</v>
      </c>
      <c r="B3" s="134"/>
      <c r="C3" s="134"/>
    </row>
    <row r="4" spans="1:5" ht="33.75" customHeight="1">
      <c r="A4" s="134" t="s">
        <v>104</v>
      </c>
      <c r="B4" s="134"/>
      <c r="C4" s="134"/>
    </row>
    <row r="5" spans="1:5">
      <c r="A5" s="134" t="s">
        <v>59</v>
      </c>
      <c r="B5" s="134"/>
      <c r="C5" s="134"/>
    </row>
    <row r="6" spans="1:5" ht="16.5" thickBot="1">
      <c r="A6" s="135" t="s">
        <v>361</v>
      </c>
      <c r="B6" s="135"/>
    </row>
    <row r="7" spans="1:5" ht="94.5" customHeight="1" thickBot="1">
      <c r="A7" s="19" t="s">
        <v>60</v>
      </c>
      <c r="B7" s="20" t="s">
        <v>61</v>
      </c>
      <c r="C7" s="20" t="s">
        <v>62</v>
      </c>
    </row>
    <row r="8" spans="1:5" ht="16.5" thickBot="1">
      <c r="A8" s="35"/>
      <c r="B8" s="36" t="s">
        <v>63</v>
      </c>
      <c r="C8" s="37"/>
      <c r="D8" s="15"/>
      <c r="E8" s="95"/>
    </row>
    <row r="9" spans="1:5">
      <c r="A9" s="136" t="s">
        <v>74</v>
      </c>
      <c r="B9" s="40" t="s">
        <v>300</v>
      </c>
      <c r="C9" s="43">
        <f>ROUND(14.49*2600,2)</f>
        <v>37674</v>
      </c>
      <c r="D9" s="15"/>
      <c r="E9" s="95"/>
    </row>
    <row r="10" spans="1:5">
      <c r="A10" s="137"/>
      <c r="B10" s="40" t="s">
        <v>300</v>
      </c>
      <c r="C10" s="104">
        <f>ROUND(14.49*2600,2)</f>
        <v>37674</v>
      </c>
      <c r="D10" s="15"/>
      <c r="E10" s="95"/>
    </row>
    <row r="11" spans="1:5" ht="16.5" thickBot="1">
      <c r="A11" s="138"/>
      <c r="B11" s="41" t="s">
        <v>299</v>
      </c>
      <c r="C11" s="105">
        <f>ROUND(10.87*2600,2)</f>
        <v>28262</v>
      </c>
      <c r="D11" s="15"/>
      <c r="E11" s="95"/>
    </row>
    <row r="12" spans="1:5" ht="32.25" thickBot="1">
      <c r="A12" s="21" t="s">
        <v>75</v>
      </c>
      <c r="B12" s="65" t="s">
        <v>73</v>
      </c>
      <c r="C12" s="46">
        <f>ROUND((C9+C10+C11)*0.2409,2)</f>
        <v>24959.65</v>
      </c>
      <c r="D12" s="15"/>
    </row>
    <row r="13" spans="1:5" ht="32.25" thickBot="1">
      <c r="A13" s="21" t="s">
        <v>76</v>
      </c>
      <c r="B13" s="24" t="s">
        <v>329</v>
      </c>
      <c r="C13" s="46">
        <f>ROUND(1.01*2600,2)</f>
        <v>2626</v>
      </c>
      <c r="D13" s="15"/>
    </row>
    <row r="14" spans="1:5" ht="32.25" thickBot="1">
      <c r="A14" s="21" t="s">
        <v>78</v>
      </c>
      <c r="B14" s="24" t="s">
        <v>330</v>
      </c>
      <c r="C14" s="46">
        <f>ROUND(1.63*2600,2)</f>
        <v>4238</v>
      </c>
      <c r="D14" s="15"/>
    </row>
    <row r="15" spans="1:5" ht="32.25" thickBot="1">
      <c r="A15" s="21" t="s">
        <v>79</v>
      </c>
      <c r="B15" s="65" t="s">
        <v>290</v>
      </c>
      <c r="C15" s="46">
        <f>ROUND(1.24*2600,2)</f>
        <v>3224</v>
      </c>
      <c r="D15" s="15"/>
    </row>
    <row r="16" spans="1:5" ht="32.25" thickBot="1">
      <c r="A16" s="21" t="s">
        <v>81</v>
      </c>
      <c r="B16" s="24" t="s">
        <v>286</v>
      </c>
      <c r="C16" s="46">
        <f>ROUND(1.71*2600,2)</f>
        <v>4446</v>
      </c>
      <c r="D16" s="15"/>
    </row>
    <row r="17" spans="1:7" ht="32.25" thickBot="1">
      <c r="A17" s="21" t="s">
        <v>154</v>
      </c>
      <c r="B17" s="24" t="s">
        <v>287</v>
      </c>
      <c r="C17" s="46">
        <f>ROUND(1.37*2600,2)</f>
        <v>3562</v>
      </c>
      <c r="D17" s="15"/>
    </row>
    <row r="18" spans="1:7" ht="32.25" thickBot="1">
      <c r="A18" s="21" t="s">
        <v>80</v>
      </c>
      <c r="B18" s="24" t="s">
        <v>288</v>
      </c>
      <c r="C18" s="46">
        <f>ROUND(5.41*2600,2)</f>
        <v>14066</v>
      </c>
      <c r="D18" s="15"/>
    </row>
    <row r="19" spans="1:7" ht="16.5" thickBot="1">
      <c r="A19" s="21"/>
      <c r="B19" s="25" t="s">
        <v>64</v>
      </c>
      <c r="C19" s="26">
        <f>SUM(C9:C18)</f>
        <v>160731.65</v>
      </c>
      <c r="D19" s="15"/>
    </row>
    <row r="20" spans="1:7" ht="16.5" thickBot="1">
      <c r="A20" s="21"/>
      <c r="B20" s="25" t="s">
        <v>65</v>
      </c>
      <c r="C20" s="27"/>
      <c r="D20" s="15"/>
    </row>
    <row r="21" spans="1:7" ht="32.25" thickBot="1">
      <c r="A21" s="21" t="s">
        <v>83</v>
      </c>
      <c r="B21" s="110" t="s">
        <v>358</v>
      </c>
      <c r="C21" s="27">
        <f>ROUND((C9+C10+C11)*0.1,2)</f>
        <v>10361</v>
      </c>
      <c r="D21" s="15"/>
    </row>
    <row r="22" spans="1:7" ht="32.25" thickBot="1">
      <c r="A22" s="21" t="s">
        <v>75</v>
      </c>
      <c r="B22" s="24" t="s">
        <v>73</v>
      </c>
      <c r="C22" s="27">
        <f>ROUND(C21*0.2409,2)</f>
        <v>2495.96</v>
      </c>
      <c r="D22" s="15"/>
    </row>
    <row r="23" spans="1:7" ht="32.25" thickBot="1">
      <c r="A23" s="21" t="s">
        <v>87</v>
      </c>
      <c r="B23" s="23" t="s">
        <v>292</v>
      </c>
      <c r="C23" s="46">
        <f>ROUND(0.11*2600,2)</f>
        <v>286</v>
      </c>
      <c r="D23" s="15"/>
      <c r="E23" s="30"/>
    </row>
    <row r="24" spans="1:7" ht="32.25" thickBot="1">
      <c r="A24" s="21" t="s">
        <v>84</v>
      </c>
      <c r="B24" s="24" t="s">
        <v>293</v>
      </c>
      <c r="C24" s="46">
        <f>ROUND(2.23*2600,2)</f>
        <v>5798</v>
      </c>
      <c r="D24" s="15"/>
    </row>
    <row r="25" spans="1:7" ht="32.25" thickBot="1">
      <c r="A25" s="21" t="s">
        <v>85</v>
      </c>
      <c r="B25" s="67" t="s">
        <v>294</v>
      </c>
      <c r="C25" s="46">
        <f>ROUND((234731/364914)*2600,2)</f>
        <v>1672.45</v>
      </c>
      <c r="D25" s="15"/>
    </row>
    <row r="26" spans="1:7" ht="32.25" thickBot="1">
      <c r="A26" s="21" t="s">
        <v>81</v>
      </c>
      <c r="B26" s="29" t="s">
        <v>303</v>
      </c>
      <c r="C26" s="46">
        <f>ROUND(1.54*2600,2)</f>
        <v>4004</v>
      </c>
      <c r="D26" s="15"/>
    </row>
    <row r="27" spans="1:7" ht="32.25" thickBot="1">
      <c r="A27" s="21" t="s">
        <v>77</v>
      </c>
      <c r="B27" s="65" t="s">
        <v>295</v>
      </c>
      <c r="C27" s="46">
        <f>ROUND(1.72*2600,2)</f>
        <v>4472</v>
      </c>
      <c r="D27" s="15"/>
    </row>
    <row r="28" spans="1:7" ht="32.25" thickBot="1">
      <c r="A28" s="21" t="s">
        <v>133</v>
      </c>
      <c r="B28" s="65" t="s">
        <v>304</v>
      </c>
      <c r="C28" s="46">
        <f>ROUND(0.79*2600,2)</f>
        <v>2054</v>
      </c>
      <c r="D28" s="15"/>
    </row>
    <row r="29" spans="1:7" ht="32.25" thickBot="1">
      <c r="A29" s="21" t="s">
        <v>131</v>
      </c>
      <c r="B29" s="24" t="s">
        <v>305</v>
      </c>
      <c r="C29" s="46">
        <f>ROUND(0.43*2600,2)</f>
        <v>1118</v>
      </c>
      <c r="D29" s="15"/>
    </row>
    <row r="30" spans="1:7" ht="32.25" thickBot="1">
      <c r="A30" s="21" t="s">
        <v>86</v>
      </c>
      <c r="B30" s="24" t="s">
        <v>298</v>
      </c>
      <c r="C30" s="46">
        <f>ROUND((46423/364914)*2600,2)</f>
        <v>330.76</v>
      </c>
      <c r="D30" s="15"/>
    </row>
    <row r="31" spans="1:7" ht="32.25" thickBot="1">
      <c r="A31" s="21" t="s">
        <v>82</v>
      </c>
      <c r="B31" s="65" t="s">
        <v>354</v>
      </c>
      <c r="C31" s="46">
        <f>ROUND(0.12*2600,2)</f>
        <v>312</v>
      </c>
      <c r="D31" s="15"/>
    </row>
    <row r="32" spans="1:7" ht="48" thickBot="1">
      <c r="A32" s="21" t="s">
        <v>155</v>
      </c>
      <c r="B32" s="65" t="s">
        <v>363</v>
      </c>
      <c r="C32" s="46">
        <f>ROUND(1.12*2600+4.14*2600,2)</f>
        <v>13676</v>
      </c>
      <c r="D32" s="15"/>
      <c r="G32" s="9"/>
    </row>
    <row r="33" spans="1:6" ht="16.5" thickBot="1">
      <c r="A33" s="21"/>
      <c r="B33" s="22" t="s">
        <v>66</v>
      </c>
      <c r="C33" s="115">
        <f>SUM(C21:C32)</f>
        <v>46580.17</v>
      </c>
      <c r="D33" s="15"/>
    </row>
    <row r="34" spans="1:6" ht="16.5" thickBot="1">
      <c r="A34" s="21"/>
      <c r="B34" s="31" t="s">
        <v>67</v>
      </c>
      <c r="C34" s="115">
        <f>C33+C19</f>
        <v>207311.82</v>
      </c>
      <c r="D34" s="15"/>
    </row>
    <row r="35" spans="1:6">
      <c r="C35" s="9"/>
      <c r="D35" s="15"/>
    </row>
    <row r="36" spans="1:6" ht="16.5" thickBot="1">
      <c r="C36" s="9"/>
    </row>
    <row r="37" spans="1:6" ht="16.5" thickBot="1">
      <c r="A37" s="130" t="s">
        <v>68</v>
      </c>
      <c r="B37" s="131"/>
      <c r="C37" s="108">
        <v>2600</v>
      </c>
    </row>
    <row r="38" spans="1:6" ht="16.5" thickBot="1">
      <c r="A38" s="130" t="s">
        <v>69</v>
      </c>
      <c r="B38" s="131"/>
      <c r="C38" s="33">
        <f>ROUND(C34/C37,2)</f>
        <v>79.739999999999995</v>
      </c>
    </row>
    <row r="40" spans="1:6">
      <c r="A40" s="13"/>
      <c r="C40" s="13"/>
      <c r="D40" s="13"/>
      <c r="E40" s="13"/>
      <c r="F40" s="13"/>
    </row>
    <row r="41" spans="1:6">
      <c r="A41" s="13"/>
      <c r="C41" s="13"/>
      <c r="D41" s="13"/>
      <c r="E41" s="13"/>
      <c r="F41" s="13"/>
    </row>
    <row r="42" spans="1:6" ht="18.75" hidden="1" customHeight="1">
      <c r="A42" s="13">
        <v>1000</v>
      </c>
      <c r="C42" s="13"/>
      <c r="D42" s="34"/>
      <c r="E42" s="13"/>
      <c r="F42" s="13"/>
    </row>
    <row r="43" spans="1:6">
      <c r="A43" s="13"/>
      <c r="C43" s="13"/>
    </row>
    <row r="44" spans="1:6">
      <c r="C44" s="13"/>
    </row>
    <row r="45" spans="1:6">
      <c r="C45" s="13"/>
    </row>
  </sheetData>
  <mergeCells count="8">
    <mergeCell ref="A37:B37"/>
    <mergeCell ref="A38:B38"/>
    <mergeCell ref="A1:C1"/>
    <mergeCell ref="A3:C3"/>
    <mergeCell ref="A4:C4"/>
    <mergeCell ref="A5:C5"/>
    <mergeCell ref="A6:B6"/>
    <mergeCell ref="A9:A11"/>
  </mergeCells>
  <pageMargins left="0.7" right="0.7" top="0.75" bottom="0.75" header="0.3" footer="0.3"/>
  <pageSetup paperSize="9"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G42"/>
  <sheetViews>
    <sheetView zoomScale="80" zoomScaleNormal="80" workbookViewId="0">
      <selection activeCell="C40" sqref="C40"/>
    </sheetView>
  </sheetViews>
  <sheetFormatPr defaultColWidth="8.85546875" defaultRowHeight="15.75"/>
  <cols>
    <col min="1" max="1" width="14.140625" style="1" customWidth="1"/>
    <col min="2" max="2" width="93.5703125" style="1" customWidth="1"/>
    <col min="3" max="3" width="19.85546875" style="1" customWidth="1"/>
    <col min="4" max="4" width="7.7109375" style="1" customWidth="1"/>
    <col min="5" max="16384" width="8.85546875" style="1"/>
  </cols>
  <sheetData>
    <row r="1" spans="1:5">
      <c r="A1" s="121" t="s">
        <v>58</v>
      </c>
      <c r="B1" s="121"/>
      <c r="C1" s="121"/>
      <c r="D1" s="18"/>
      <c r="E1" s="18"/>
    </row>
    <row r="3" spans="1:5">
      <c r="A3" s="134" t="s">
        <v>70</v>
      </c>
      <c r="B3" s="134"/>
      <c r="C3" s="134"/>
    </row>
    <row r="4" spans="1:5" ht="33.75" customHeight="1">
      <c r="A4" s="134" t="s">
        <v>105</v>
      </c>
      <c r="B4" s="134"/>
      <c r="C4" s="134"/>
    </row>
    <row r="5" spans="1:5">
      <c r="A5" s="134" t="s">
        <v>59</v>
      </c>
      <c r="B5" s="134"/>
      <c r="C5" s="134"/>
    </row>
    <row r="6" spans="1:5" ht="16.5" thickBot="1">
      <c r="A6" s="135" t="s">
        <v>281</v>
      </c>
      <c r="B6" s="135"/>
    </row>
    <row r="7" spans="1:5" ht="92.25" customHeight="1" thickBot="1">
      <c r="A7" s="19" t="s">
        <v>60</v>
      </c>
      <c r="B7" s="20" t="s">
        <v>61</v>
      </c>
      <c r="C7" s="20" t="s">
        <v>62</v>
      </c>
    </row>
    <row r="8" spans="1:5" ht="16.5" thickBot="1">
      <c r="A8" s="35"/>
      <c r="B8" s="36" t="s">
        <v>63</v>
      </c>
      <c r="C8" s="37"/>
      <c r="D8" s="95"/>
      <c r="E8" s="95"/>
    </row>
    <row r="9" spans="1:5">
      <c r="A9" s="136" t="s">
        <v>74</v>
      </c>
      <c r="B9" s="39" t="s">
        <v>94</v>
      </c>
      <c r="C9" s="43">
        <f>ROUND(18.85*60,2)</f>
        <v>1131</v>
      </c>
      <c r="D9" s="94"/>
      <c r="E9" s="95"/>
    </row>
    <row r="10" spans="1:5">
      <c r="A10" s="137"/>
      <c r="B10" s="40" t="s">
        <v>300</v>
      </c>
      <c r="C10" s="104">
        <f>ROUND(12.48*60,2)</f>
        <v>748.8</v>
      </c>
      <c r="D10" s="95"/>
      <c r="E10" s="95"/>
    </row>
    <row r="11" spans="1:5" ht="16.5" thickBot="1">
      <c r="A11" s="138"/>
      <c r="B11" s="41" t="s">
        <v>299</v>
      </c>
      <c r="C11" s="105">
        <f>ROUND(8.94*60,2)</f>
        <v>536.4</v>
      </c>
      <c r="D11" s="95"/>
      <c r="E11" s="95"/>
    </row>
    <row r="12" spans="1:5" ht="32.25" thickBot="1">
      <c r="A12" s="21" t="s">
        <v>75</v>
      </c>
      <c r="B12" s="65" t="s">
        <v>73</v>
      </c>
      <c r="C12" s="27">
        <f>ROUND((C9+C10+C11)*0.2409,2)</f>
        <v>582.05999999999995</v>
      </c>
    </row>
    <row r="13" spans="1:5" ht="32.25" thickBot="1">
      <c r="A13" s="21" t="s">
        <v>76</v>
      </c>
      <c r="B13" s="24" t="s">
        <v>329</v>
      </c>
      <c r="C13" s="27">
        <f>ROUND((367899/364914)*60,2)</f>
        <v>60.49</v>
      </c>
    </row>
    <row r="14" spans="1:5" ht="32.25" thickBot="1">
      <c r="A14" s="21" t="s">
        <v>78</v>
      </c>
      <c r="B14" s="24" t="s">
        <v>331</v>
      </c>
      <c r="C14" s="46">
        <f>ROUND((1.63+6.91)*60,2)</f>
        <v>512.4</v>
      </c>
    </row>
    <row r="15" spans="1:5" ht="32.25" thickBot="1">
      <c r="A15" s="21" t="s">
        <v>79</v>
      </c>
      <c r="B15" s="65" t="s">
        <v>290</v>
      </c>
      <c r="C15" s="27">
        <f>ROUND((452717/364914)*60,2)</f>
        <v>74.44</v>
      </c>
    </row>
    <row r="16" spans="1:5" ht="32.25" thickBot="1">
      <c r="A16" s="21" t="s">
        <v>81</v>
      </c>
      <c r="B16" s="24" t="s">
        <v>286</v>
      </c>
      <c r="C16" s="27">
        <f>ROUND(1.71*60,2)</f>
        <v>102.6</v>
      </c>
    </row>
    <row r="17" spans="1:7" ht="32.25" thickBot="1">
      <c r="A17" s="21" t="s">
        <v>154</v>
      </c>
      <c r="B17" s="24" t="s">
        <v>287</v>
      </c>
      <c r="C17" s="27">
        <f>ROUND((500471/364914)*60,2)</f>
        <v>82.29</v>
      </c>
    </row>
    <row r="18" spans="1:7" ht="32.25" thickBot="1">
      <c r="A18" s="21" t="s">
        <v>80</v>
      </c>
      <c r="B18" s="24" t="s">
        <v>288</v>
      </c>
      <c r="C18" s="46">
        <f>ROUND(5.41*60,2)</f>
        <v>324.60000000000002</v>
      </c>
    </row>
    <row r="19" spans="1:7" ht="16.5" thickBot="1">
      <c r="A19" s="21"/>
      <c r="B19" s="25" t="s">
        <v>64</v>
      </c>
      <c r="C19" s="26">
        <f>SUM(C9:C18)</f>
        <v>4155.08</v>
      </c>
    </row>
    <row r="20" spans="1:7" ht="16.5" thickBot="1">
      <c r="A20" s="21"/>
      <c r="B20" s="25" t="s">
        <v>65</v>
      </c>
      <c r="C20" s="27"/>
    </row>
    <row r="21" spans="1:7" ht="32.25" thickBot="1">
      <c r="A21" s="21" t="s">
        <v>83</v>
      </c>
      <c r="B21" s="28" t="s">
        <v>146</v>
      </c>
      <c r="C21" s="27">
        <f>ROUND((C9+C10+C11)*0.15,2)</f>
        <v>362.43</v>
      </c>
    </row>
    <row r="22" spans="1:7" ht="32.25" thickBot="1">
      <c r="A22" s="21" t="s">
        <v>75</v>
      </c>
      <c r="B22" s="65" t="s">
        <v>73</v>
      </c>
      <c r="C22" s="27">
        <f>ROUND(C21*0.2409,2)</f>
        <v>87.31</v>
      </c>
    </row>
    <row r="23" spans="1:7" ht="32.25" thickBot="1">
      <c r="A23" s="21" t="s">
        <v>87</v>
      </c>
      <c r="B23" s="23" t="s">
        <v>292</v>
      </c>
      <c r="C23" s="27">
        <f>ROUND((39708/364914)*60,2)</f>
        <v>6.53</v>
      </c>
      <c r="E23" s="30"/>
    </row>
    <row r="24" spans="1:7" ht="32.25" thickBot="1">
      <c r="A24" s="21" t="s">
        <v>84</v>
      </c>
      <c r="B24" s="24" t="s">
        <v>293</v>
      </c>
      <c r="C24" s="27">
        <f>ROUND(2.23*60,2)</f>
        <v>133.80000000000001</v>
      </c>
    </row>
    <row r="25" spans="1:7" ht="32.25" thickBot="1">
      <c r="A25" s="21" t="s">
        <v>85</v>
      </c>
      <c r="B25" s="23" t="s">
        <v>332</v>
      </c>
      <c r="C25" s="27">
        <f>ROUND((234731/364914)*60,2)</f>
        <v>38.6</v>
      </c>
    </row>
    <row r="26" spans="1:7" ht="32.25" thickBot="1">
      <c r="A26" s="21" t="s">
        <v>81</v>
      </c>
      <c r="B26" s="29" t="s">
        <v>303</v>
      </c>
      <c r="C26" s="27">
        <f>ROUND((561364/364914)*60,2)</f>
        <v>92.3</v>
      </c>
    </row>
    <row r="27" spans="1:7" ht="32.25" thickBot="1">
      <c r="A27" s="21" t="s">
        <v>77</v>
      </c>
      <c r="B27" s="65" t="s">
        <v>295</v>
      </c>
      <c r="C27" s="27">
        <f>ROUND((627676/364914)*60,2)</f>
        <v>103.2</v>
      </c>
    </row>
    <row r="28" spans="1:7" ht="32.25" thickBot="1">
      <c r="A28" s="21" t="s">
        <v>133</v>
      </c>
      <c r="B28" s="65" t="s">
        <v>304</v>
      </c>
      <c r="C28" s="27">
        <f>ROUND((286606/364914)*60,2)</f>
        <v>47.12</v>
      </c>
    </row>
    <row r="29" spans="1:7" ht="36.75" customHeight="1" thickBot="1">
      <c r="A29" s="21" t="s">
        <v>131</v>
      </c>
      <c r="B29" s="65" t="s">
        <v>305</v>
      </c>
      <c r="C29" s="27">
        <f>ROUND((157571/364914)*60,2)</f>
        <v>25.91</v>
      </c>
    </row>
    <row r="30" spans="1:7" ht="32.25" thickBot="1">
      <c r="A30" s="21" t="s">
        <v>86</v>
      </c>
      <c r="B30" s="73" t="s">
        <v>298</v>
      </c>
      <c r="C30" s="27">
        <f>ROUND((46423/364914)*60,2)</f>
        <v>7.63</v>
      </c>
    </row>
    <row r="31" spans="1:7" ht="32.25" thickBot="1">
      <c r="A31" s="21" t="s">
        <v>82</v>
      </c>
      <c r="B31" s="65" t="s">
        <v>354</v>
      </c>
      <c r="C31" s="27">
        <f>ROUND((42368/364914)*60,2)</f>
        <v>6.97</v>
      </c>
    </row>
    <row r="32" spans="1:7" ht="48" thickBot="1">
      <c r="A32" s="21" t="s">
        <v>155</v>
      </c>
      <c r="B32" s="65" t="s">
        <v>363</v>
      </c>
      <c r="C32" s="27">
        <f>ROUND(1.12*60+4.14*60,2)</f>
        <v>315.60000000000002</v>
      </c>
      <c r="G32" s="9"/>
    </row>
    <row r="33" spans="1:6" ht="16.5" thickBot="1">
      <c r="A33" s="21"/>
      <c r="B33" s="22" t="s">
        <v>66</v>
      </c>
      <c r="C33" s="26">
        <f>SUM(C21:C32)</f>
        <v>1227.4000000000001</v>
      </c>
    </row>
    <row r="34" spans="1:6" ht="16.5" thickBot="1">
      <c r="A34" s="21"/>
      <c r="B34" s="31" t="s">
        <v>67</v>
      </c>
      <c r="C34" s="26">
        <f>C33+C19</f>
        <v>5382.48</v>
      </c>
    </row>
    <row r="35" spans="1:6">
      <c r="C35" s="9"/>
    </row>
    <row r="36" spans="1:6" ht="16.5" thickBot="1">
      <c r="C36" s="9"/>
    </row>
    <row r="37" spans="1:6" ht="16.5" thickBot="1">
      <c r="A37" s="130" t="s">
        <v>68</v>
      </c>
      <c r="B37" s="131"/>
      <c r="C37" s="32">
        <v>60</v>
      </c>
    </row>
    <row r="38" spans="1:6" ht="16.5" thickBot="1">
      <c r="A38" s="130" t="s">
        <v>69</v>
      </c>
      <c r="B38" s="131"/>
      <c r="C38" s="33">
        <f>ROUND(C34/C37,2)</f>
        <v>89.71</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I42"/>
  <sheetViews>
    <sheetView zoomScale="80" zoomScaleNormal="80" workbookViewId="0">
      <selection activeCell="C40" sqref="C40"/>
    </sheetView>
  </sheetViews>
  <sheetFormatPr defaultColWidth="8.85546875" defaultRowHeight="15.75"/>
  <cols>
    <col min="1" max="1" width="15.5703125" style="1" customWidth="1"/>
    <col min="2" max="2" width="96.7109375" style="1" customWidth="1"/>
    <col min="3" max="3" width="19.85546875" style="1" customWidth="1"/>
    <col min="4" max="4" width="9.28515625" style="1" customWidth="1"/>
    <col min="5" max="16384" width="8.85546875" style="1"/>
  </cols>
  <sheetData>
    <row r="1" spans="1:9">
      <c r="A1" s="121" t="s">
        <v>58</v>
      </c>
      <c r="B1" s="121"/>
      <c r="C1" s="121"/>
      <c r="D1" s="18"/>
      <c r="E1" s="18"/>
    </row>
    <row r="3" spans="1:9">
      <c r="A3" s="134" t="s">
        <v>70</v>
      </c>
      <c r="B3" s="134"/>
      <c r="C3" s="134"/>
    </row>
    <row r="4" spans="1:9" ht="33.75" customHeight="1">
      <c r="A4" s="134" t="s">
        <v>106</v>
      </c>
      <c r="B4" s="134"/>
      <c r="C4" s="134"/>
    </row>
    <row r="5" spans="1:9">
      <c r="A5" s="134" t="s">
        <v>59</v>
      </c>
      <c r="B5" s="134"/>
      <c r="C5" s="134"/>
    </row>
    <row r="6" spans="1:9" ht="16.5" thickBot="1">
      <c r="A6" s="135" t="s">
        <v>107</v>
      </c>
      <c r="B6" s="135"/>
    </row>
    <row r="7" spans="1:9" ht="84.75" customHeight="1" thickBot="1">
      <c r="A7" s="19" t="s">
        <v>60</v>
      </c>
      <c r="B7" s="20" t="s">
        <v>61</v>
      </c>
      <c r="C7" s="20" t="s">
        <v>62</v>
      </c>
    </row>
    <row r="8" spans="1:9" ht="16.5" thickBot="1">
      <c r="A8" s="35"/>
      <c r="B8" s="36" t="s">
        <v>63</v>
      </c>
      <c r="C8" s="37"/>
      <c r="D8" s="95"/>
      <c r="E8" s="95"/>
    </row>
    <row r="9" spans="1:9">
      <c r="A9" s="136" t="s">
        <v>74</v>
      </c>
      <c r="B9" s="39" t="s">
        <v>99</v>
      </c>
      <c r="C9" s="43">
        <f>ROUND(20.54*5,2)</f>
        <v>102.7</v>
      </c>
      <c r="D9" s="94"/>
      <c r="E9" s="94"/>
    </row>
    <row r="10" spans="1:9">
      <c r="A10" s="137"/>
      <c r="B10" s="40" t="s">
        <v>300</v>
      </c>
      <c r="C10" s="104">
        <f>ROUND(12.48*5,2)</f>
        <v>62.4</v>
      </c>
      <c r="D10" s="95"/>
      <c r="E10" s="95"/>
      <c r="G10" s="9"/>
      <c r="H10" s="9"/>
      <c r="I10" s="9"/>
    </row>
    <row r="11" spans="1:9" ht="16.5" thickBot="1">
      <c r="A11" s="138"/>
      <c r="B11" s="41" t="s">
        <v>299</v>
      </c>
      <c r="C11" s="105">
        <f>ROUND(8.94*5,2)</f>
        <v>44.7</v>
      </c>
      <c r="D11" s="95"/>
      <c r="E11" s="94"/>
    </row>
    <row r="12" spans="1:9" ht="32.25" thickBot="1">
      <c r="A12" s="21" t="s">
        <v>75</v>
      </c>
      <c r="B12" s="65" t="s">
        <v>73</v>
      </c>
      <c r="C12" s="27">
        <f>ROUND((C9+C10+C11)*0.2409,2)</f>
        <v>50.54</v>
      </c>
    </row>
    <row r="13" spans="1:9" ht="32.25" thickBot="1">
      <c r="A13" s="21" t="s">
        <v>76</v>
      </c>
      <c r="B13" s="24" t="s">
        <v>284</v>
      </c>
      <c r="C13" s="27">
        <f>ROUND((367899/364914 )*5,2)</f>
        <v>5.04</v>
      </c>
    </row>
    <row r="14" spans="1:9" ht="32.25" thickBot="1">
      <c r="A14" s="21" t="s">
        <v>78</v>
      </c>
      <c r="B14" s="24" t="s">
        <v>333</v>
      </c>
      <c r="C14" s="46">
        <f>ROUND((1.63+9.22)*5,2)</f>
        <v>54.25</v>
      </c>
    </row>
    <row r="15" spans="1:9" ht="32.25" thickBot="1">
      <c r="A15" s="21" t="s">
        <v>79</v>
      </c>
      <c r="B15" s="65" t="s">
        <v>290</v>
      </c>
      <c r="C15" s="27">
        <f>ROUND((452717/364914)*5,2)</f>
        <v>6.2</v>
      </c>
    </row>
    <row r="16" spans="1:9" ht="32.25" thickBot="1">
      <c r="A16" s="21" t="s">
        <v>81</v>
      </c>
      <c r="B16" s="24" t="s">
        <v>286</v>
      </c>
      <c r="C16" s="27">
        <f>ROUND((624380/364914)*5,2)</f>
        <v>8.56</v>
      </c>
    </row>
    <row r="17" spans="1:7" ht="32.25" thickBot="1">
      <c r="A17" s="21" t="s">
        <v>154</v>
      </c>
      <c r="B17" s="24" t="s">
        <v>287</v>
      </c>
      <c r="C17" s="27">
        <f>ROUND((500471/364914)*5,2)</f>
        <v>6.86</v>
      </c>
    </row>
    <row r="18" spans="1:7" ht="32.25" thickBot="1">
      <c r="A18" s="21" t="s">
        <v>80</v>
      </c>
      <c r="B18" s="24" t="s">
        <v>334</v>
      </c>
      <c r="C18" s="46">
        <f>ROUND(5.41*5,2)</f>
        <v>27.05</v>
      </c>
    </row>
    <row r="19" spans="1:7" ht="16.5" thickBot="1">
      <c r="A19" s="21"/>
      <c r="B19" s="25" t="s">
        <v>64</v>
      </c>
      <c r="C19" s="26">
        <f>SUM(C9:C18)</f>
        <v>368.30000000000007</v>
      </c>
      <c r="E19" s="9"/>
    </row>
    <row r="20" spans="1:7" ht="16.5" thickBot="1">
      <c r="A20" s="21"/>
      <c r="B20" s="25" t="s">
        <v>65</v>
      </c>
      <c r="C20" s="27"/>
    </row>
    <row r="21" spans="1:7" ht="32.25" thickBot="1">
      <c r="A21" s="21" t="s">
        <v>83</v>
      </c>
      <c r="B21" s="28" t="s">
        <v>146</v>
      </c>
      <c r="C21" s="27">
        <f>ROUND((C9+C10+C11)*0.15,2)</f>
        <v>31.47</v>
      </c>
    </row>
    <row r="22" spans="1:7" ht="32.25" thickBot="1">
      <c r="A22" s="21" t="s">
        <v>75</v>
      </c>
      <c r="B22" s="65" t="s">
        <v>73</v>
      </c>
      <c r="C22" s="27">
        <f>ROUND(C21*0.2409,2)</f>
        <v>7.58</v>
      </c>
    </row>
    <row r="23" spans="1:7" ht="32.25" thickBot="1">
      <c r="A23" s="21" t="s">
        <v>87</v>
      </c>
      <c r="B23" s="23" t="s">
        <v>292</v>
      </c>
      <c r="C23" s="27">
        <f>ROUND((39708/364914)*5,2)</f>
        <v>0.54</v>
      </c>
      <c r="E23" s="30"/>
    </row>
    <row r="24" spans="1:7" ht="32.25" thickBot="1">
      <c r="A24" s="21" t="s">
        <v>84</v>
      </c>
      <c r="B24" s="24" t="s">
        <v>293</v>
      </c>
      <c r="C24" s="27">
        <f>ROUND(2.23*5,2)</f>
        <v>11.15</v>
      </c>
    </row>
    <row r="25" spans="1:7" ht="32.25" thickBot="1">
      <c r="A25" s="21" t="s">
        <v>85</v>
      </c>
      <c r="B25" s="67" t="s">
        <v>294</v>
      </c>
      <c r="C25" s="27">
        <f>ROUND((234731/364914)*5,2)</f>
        <v>3.22</v>
      </c>
    </row>
    <row r="26" spans="1:7" ht="32.25" thickBot="1">
      <c r="A26" s="21" t="s">
        <v>81</v>
      </c>
      <c r="B26" s="29" t="s">
        <v>303</v>
      </c>
      <c r="C26" s="27">
        <f>ROUND((561364/364914)*5,2)</f>
        <v>7.69</v>
      </c>
    </row>
    <row r="27" spans="1:7" ht="32.25" thickBot="1">
      <c r="A27" s="21" t="s">
        <v>77</v>
      </c>
      <c r="B27" s="65" t="s">
        <v>335</v>
      </c>
      <c r="C27" s="27">
        <f>ROUND((627676/364914)*5,2)</f>
        <v>8.6</v>
      </c>
    </row>
    <row r="28" spans="1:7" ht="32.25" thickBot="1">
      <c r="A28" s="21" t="s">
        <v>133</v>
      </c>
      <c r="B28" s="65" t="s">
        <v>304</v>
      </c>
      <c r="C28" s="27">
        <f>ROUND((286606/364914)*5,2)</f>
        <v>3.93</v>
      </c>
    </row>
    <row r="29" spans="1:7" ht="36" customHeight="1" thickBot="1">
      <c r="A29" s="21" t="s">
        <v>131</v>
      </c>
      <c r="B29" s="24" t="s">
        <v>305</v>
      </c>
      <c r="C29" s="27">
        <f>ROUND((157571/364914)*5,2)</f>
        <v>2.16</v>
      </c>
    </row>
    <row r="30" spans="1:7" ht="38.25" customHeight="1" thickBot="1">
      <c r="A30" s="21" t="s">
        <v>86</v>
      </c>
      <c r="B30" s="24" t="s">
        <v>298</v>
      </c>
      <c r="C30" s="27">
        <f>ROUND((46423/364914)*5,2)</f>
        <v>0.64</v>
      </c>
    </row>
    <row r="31" spans="1:7" ht="32.25" thickBot="1">
      <c r="A31" s="21" t="s">
        <v>82</v>
      </c>
      <c r="B31" s="65" t="s">
        <v>354</v>
      </c>
      <c r="C31" s="27">
        <f>ROUND((42368/364914)*5,2)</f>
        <v>0.57999999999999996</v>
      </c>
    </row>
    <row r="32" spans="1:7" ht="48" thickBot="1">
      <c r="A32" s="21" t="s">
        <v>155</v>
      </c>
      <c r="B32" s="65" t="s">
        <v>363</v>
      </c>
      <c r="C32" s="27">
        <f>ROUND(1.12*5+4.14*5,2)</f>
        <v>26.3</v>
      </c>
      <c r="G32" s="9"/>
    </row>
    <row r="33" spans="1:6" ht="16.5" thickBot="1">
      <c r="A33" s="21"/>
      <c r="B33" s="22" t="s">
        <v>66</v>
      </c>
      <c r="C33" s="26">
        <f>SUM(C21:C32)</f>
        <v>103.85999999999999</v>
      </c>
    </row>
    <row r="34" spans="1:6" ht="16.5" thickBot="1">
      <c r="A34" s="21"/>
      <c r="B34" s="31" t="s">
        <v>67</v>
      </c>
      <c r="C34" s="26">
        <f>C33+C19</f>
        <v>472.16000000000008</v>
      </c>
    </row>
    <row r="35" spans="1:6">
      <c r="C35" s="9"/>
    </row>
    <row r="36" spans="1:6" ht="16.5" thickBot="1">
      <c r="C36" s="9"/>
    </row>
    <row r="37" spans="1:6" ht="16.5" thickBot="1">
      <c r="A37" s="130" t="s">
        <v>68</v>
      </c>
      <c r="B37" s="131"/>
      <c r="C37" s="32">
        <v>5</v>
      </c>
    </row>
    <row r="38" spans="1:6" ht="16.5" thickBot="1">
      <c r="A38" s="130" t="s">
        <v>69</v>
      </c>
      <c r="B38" s="131"/>
      <c r="C38" s="33">
        <f>ROUND(C34/C37,2)</f>
        <v>94.43</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G46"/>
  <sheetViews>
    <sheetView zoomScale="80" zoomScaleNormal="80" workbookViewId="0">
      <selection activeCell="C41" sqref="C41"/>
    </sheetView>
  </sheetViews>
  <sheetFormatPr defaultColWidth="8.85546875" defaultRowHeight="15.75"/>
  <cols>
    <col min="1" max="1" width="15.5703125" style="1" customWidth="1"/>
    <col min="2" max="2" width="104" style="1" customWidth="1"/>
    <col min="3" max="3" width="19.85546875" style="1" customWidth="1"/>
    <col min="4" max="4" width="11.42578125" style="1" customWidth="1"/>
    <col min="5" max="5" width="8.28515625" style="1" customWidth="1"/>
    <col min="6" max="16384" width="8.85546875" style="1"/>
  </cols>
  <sheetData>
    <row r="1" spans="1:5">
      <c r="A1" s="121" t="s">
        <v>58</v>
      </c>
      <c r="B1" s="121"/>
      <c r="C1" s="121"/>
      <c r="D1" s="18"/>
      <c r="E1" s="18"/>
    </row>
    <row r="3" spans="1:5">
      <c r="A3" s="134" t="s">
        <v>70</v>
      </c>
      <c r="B3" s="134"/>
      <c r="C3" s="134"/>
    </row>
    <row r="4" spans="1:5" ht="33.75" customHeight="1">
      <c r="A4" s="134" t="s">
        <v>108</v>
      </c>
      <c r="B4" s="134"/>
      <c r="C4" s="134"/>
    </row>
    <row r="5" spans="1:5">
      <c r="A5" s="134" t="s">
        <v>59</v>
      </c>
      <c r="B5" s="134"/>
      <c r="C5" s="134"/>
    </row>
    <row r="6" spans="1:5" ht="16.5" thickBot="1">
      <c r="A6" s="135" t="s">
        <v>282</v>
      </c>
      <c r="B6" s="135"/>
    </row>
    <row r="7" spans="1:5" ht="92.25" customHeight="1" thickBot="1">
      <c r="A7" s="19" t="s">
        <v>60</v>
      </c>
      <c r="B7" s="20" t="s">
        <v>61</v>
      </c>
      <c r="C7" s="20" t="s">
        <v>62</v>
      </c>
    </row>
    <row r="8" spans="1:5" ht="16.5" thickBot="1">
      <c r="A8" s="35"/>
      <c r="B8" s="36" t="s">
        <v>63</v>
      </c>
      <c r="C8" s="37"/>
    </row>
    <row r="9" spans="1:5">
      <c r="A9" s="136" t="s">
        <v>74</v>
      </c>
      <c r="B9" s="39" t="s">
        <v>110</v>
      </c>
      <c r="C9" s="43">
        <f>ROUND(22.68*121,2)</f>
        <v>2744.28</v>
      </c>
    </row>
    <row r="10" spans="1:5">
      <c r="A10" s="137"/>
      <c r="B10" s="40" t="s">
        <v>300</v>
      </c>
      <c r="C10" s="104">
        <f>ROUND(13.12*121,2)</f>
        <v>1587.52</v>
      </c>
    </row>
    <row r="11" spans="1:5">
      <c r="A11" s="140"/>
      <c r="B11" s="42" t="s">
        <v>336</v>
      </c>
      <c r="C11" s="104">
        <f>ROUND(7.99*121,2)</f>
        <v>966.79</v>
      </c>
    </row>
    <row r="12" spans="1:5" ht="16.5" thickBot="1">
      <c r="A12" s="138"/>
      <c r="B12" s="41" t="s">
        <v>299</v>
      </c>
      <c r="C12" s="105">
        <f>ROUND(9.84*121,2)</f>
        <v>1190.6400000000001</v>
      </c>
    </row>
    <row r="13" spans="1:5" ht="18.75" customHeight="1" thickBot="1">
      <c r="A13" s="21" t="s">
        <v>75</v>
      </c>
      <c r="B13" s="65" t="s">
        <v>73</v>
      </c>
      <c r="C13" s="27">
        <f>ROUND((C9+C10+C11+C12)*0.2409,2)</f>
        <v>1563.26</v>
      </c>
    </row>
    <row r="14" spans="1:5" ht="32.25" thickBot="1">
      <c r="A14" s="21" t="s">
        <v>76</v>
      </c>
      <c r="B14" s="24" t="s">
        <v>284</v>
      </c>
      <c r="C14" s="27">
        <f>ROUND(1.01*121,2)</f>
        <v>122.21</v>
      </c>
    </row>
    <row r="15" spans="1:5" ht="32.25" thickBot="1">
      <c r="A15" s="21" t="s">
        <v>78</v>
      </c>
      <c r="B15" s="24" t="s">
        <v>301</v>
      </c>
      <c r="C15" s="46">
        <f>ROUND(((596554/364914)+11.52)*121,2)</f>
        <v>1591.73</v>
      </c>
    </row>
    <row r="16" spans="1:5" ht="32.25" thickBot="1">
      <c r="A16" s="21" t="s">
        <v>79</v>
      </c>
      <c r="B16" s="65" t="s">
        <v>290</v>
      </c>
      <c r="C16" s="27">
        <f>ROUND((452717/364914)*121,2)</f>
        <v>150.11000000000001</v>
      </c>
    </row>
    <row r="17" spans="1:3" ht="32.25" thickBot="1">
      <c r="A17" s="21" t="s">
        <v>81</v>
      </c>
      <c r="B17" s="24" t="s">
        <v>286</v>
      </c>
      <c r="C17" s="27">
        <f>ROUND((624380/364914 )*121,2)</f>
        <v>207.04</v>
      </c>
    </row>
    <row r="18" spans="1:3" ht="32.25" thickBot="1">
      <c r="A18" s="21" t="s">
        <v>154</v>
      </c>
      <c r="B18" s="24" t="s">
        <v>287</v>
      </c>
      <c r="C18" s="27">
        <f>ROUND((500471/364914)*121,2)</f>
        <v>165.95</v>
      </c>
    </row>
    <row r="19" spans="1:3" ht="32.25" thickBot="1">
      <c r="A19" s="21" t="s">
        <v>80</v>
      </c>
      <c r="B19" s="24" t="s">
        <v>288</v>
      </c>
      <c r="C19" s="46">
        <f>ROUND((15/100*34*1.06)*121,2)</f>
        <v>654.13</v>
      </c>
    </row>
    <row r="20" spans="1:3" ht="16.5" thickBot="1">
      <c r="A20" s="21"/>
      <c r="B20" s="25" t="s">
        <v>64</v>
      </c>
      <c r="C20" s="26">
        <f>SUM(C9:C19)</f>
        <v>10943.660000000002</v>
      </c>
    </row>
    <row r="21" spans="1:3" ht="16.5" thickBot="1">
      <c r="A21" s="21"/>
      <c r="B21" s="25" t="s">
        <v>65</v>
      </c>
      <c r="C21" s="27"/>
    </row>
    <row r="22" spans="1:3" ht="19.5" customHeight="1" thickBot="1">
      <c r="A22" s="21" t="s">
        <v>83</v>
      </c>
      <c r="B22" s="28" t="s">
        <v>146</v>
      </c>
      <c r="C22" s="27">
        <f>ROUND((C9+C10+C11+C12)*0.15,2)</f>
        <v>973.38</v>
      </c>
    </row>
    <row r="23" spans="1:3" ht="18.75" customHeight="1" thickBot="1">
      <c r="A23" s="21" t="s">
        <v>75</v>
      </c>
      <c r="B23" s="65" t="s">
        <v>73</v>
      </c>
      <c r="C23" s="27">
        <f>ROUND(C22*0.2409,2)</f>
        <v>234.49</v>
      </c>
    </row>
    <row r="24" spans="1:3" ht="32.25" thickBot="1">
      <c r="A24" s="21" t="s">
        <v>87</v>
      </c>
      <c r="B24" s="23" t="s">
        <v>292</v>
      </c>
      <c r="C24" s="27">
        <f>ROUND((39708/364914)*121,2)</f>
        <v>13.17</v>
      </c>
    </row>
    <row r="25" spans="1:3" ht="32.25" thickBot="1">
      <c r="A25" s="21" t="s">
        <v>84</v>
      </c>
      <c r="B25" s="24" t="s">
        <v>293</v>
      </c>
      <c r="C25" s="27">
        <f>ROUND((813902/364914)*121,2)</f>
        <v>269.88</v>
      </c>
    </row>
    <row r="26" spans="1:3" ht="32.25" thickBot="1">
      <c r="A26" s="21" t="s">
        <v>85</v>
      </c>
      <c r="B26" s="67" t="s">
        <v>294</v>
      </c>
      <c r="C26" s="27">
        <f>ROUND((234731/364914 )*121,2)</f>
        <v>77.83</v>
      </c>
    </row>
    <row r="27" spans="1:3" ht="32.25" thickBot="1">
      <c r="A27" s="21" t="s">
        <v>81</v>
      </c>
      <c r="B27" s="29" t="s">
        <v>303</v>
      </c>
      <c r="C27" s="27">
        <f>ROUND((561364/364914)*121,2)</f>
        <v>186.14</v>
      </c>
    </row>
    <row r="28" spans="1:3" ht="32.25" thickBot="1">
      <c r="A28" s="21" t="s">
        <v>77</v>
      </c>
      <c r="B28" s="65" t="s">
        <v>295</v>
      </c>
      <c r="C28" s="27">
        <f>ROUND((627676/364914)*121,2)</f>
        <v>208.13</v>
      </c>
    </row>
    <row r="29" spans="1:3" ht="33" customHeight="1" thickBot="1">
      <c r="A29" s="21" t="s">
        <v>133</v>
      </c>
      <c r="B29" s="65" t="s">
        <v>304</v>
      </c>
      <c r="C29" s="27">
        <f>ROUND((286606/364914)*121,2)</f>
        <v>95.03</v>
      </c>
    </row>
    <row r="30" spans="1:3" ht="32.25" thickBot="1">
      <c r="A30" s="21" t="s">
        <v>131</v>
      </c>
      <c r="B30" s="24" t="s">
        <v>297</v>
      </c>
      <c r="C30" s="27">
        <f>ROUND((157571/364914)*121,2)</f>
        <v>52.25</v>
      </c>
    </row>
    <row r="31" spans="1:3" ht="32.25" thickBot="1">
      <c r="A31" s="21" t="s">
        <v>86</v>
      </c>
      <c r="B31" s="24" t="s">
        <v>298</v>
      </c>
      <c r="C31" s="27">
        <f>ROUND((46423/364914)*121,2)</f>
        <v>15.39</v>
      </c>
    </row>
    <row r="32" spans="1:3" ht="32.25" thickBot="1">
      <c r="A32" s="21" t="s">
        <v>82</v>
      </c>
      <c r="B32" s="65" t="s">
        <v>354</v>
      </c>
      <c r="C32" s="27">
        <f>ROUND((42368/364914)*121,2)</f>
        <v>14.05</v>
      </c>
    </row>
    <row r="33" spans="1:7" ht="48" thickBot="1">
      <c r="A33" s="21" t="s">
        <v>155</v>
      </c>
      <c r="B33" s="65" t="s">
        <v>363</v>
      </c>
      <c r="C33" s="27">
        <f>ROUND(3.55*121,2)</f>
        <v>429.55</v>
      </c>
      <c r="G33" s="9"/>
    </row>
    <row r="34" spans="1:7" ht="16.5" thickBot="1">
      <c r="A34" s="21"/>
      <c r="B34" s="22" t="s">
        <v>66</v>
      </c>
      <c r="C34" s="26">
        <f>SUM(C22:C33)</f>
        <v>2569.2900000000004</v>
      </c>
    </row>
    <row r="35" spans="1:7" ht="16.5" thickBot="1">
      <c r="A35" s="21"/>
      <c r="B35" s="31" t="s">
        <v>67</v>
      </c>
      <c r="C35" s="26">
        <f>C34+C20</f>
        <v>13512.950000000003</v>
      </c>
    </row>
    <row r="36" spans="1:7">
      <c r="C36" s="9"/>
    </row>
    <row r="37" spans="1:7" ht="16.5" thickBot="1">
      <c r="C37" s="9"/>
    </row>
    <row r="38" spans="1:7" ht="16.5" thickBot="1">
      <c r="A38" s="130" t="s">
        <v>68</v>
      </c>
      <c r="B38" s="131"/>
      <c r="C38" s="32">
        <v>121</v>
      </c>
    </row>
    <row r="39" spans="1:7" ht="16.5" thickBot="1">
      <c r="A39" s="130" t="s">
        <v>69</v>
      </c>
      <c r="B39" s="131"/>
      <c r="C39" s="33">
        <f>ROUND(C35/C38,2)</f>
        <v>111.68</v>
      </c>
    </row>
    <row r="41" spans="1:7">
      <c r="A41" s="13"/>
      <c r="B41" s="13"/>
      <c r="C41" s="13"/>
      <c r="D41" s="13"/>
      <c r="E41" s="13"/>
      <c r="F41" s="13"/>
    </row>
    <row r="42" spans="1:7">
      <c r="A42" s="13"/>
      <c r="B42" s="13"/>
      <c r="C42" s="13"/>
      <c r="D42" s="13"/>
      <c r="E42" s="13"/>
      <c r="F42" s="13"/>
    </row>
    <row r="43" spans="1:7" ht="18.75" hidden="1" customHeight="1">
      <c r="A43" s="13"/>
      <c r="B43" s="13"/>
      <c r="C43" s="13"/>
      <c r="D43" s="13"/>
      <c r="E43" s="13"/>
      <c r="F43" s="13"/>
    </row>
    <row r="44" spans="1:7">
      <c r="A44" s="13"/>
      <c r="B44" s="13"/>
      <c r="C44" s="13"/>
      <c r="D44" s="13"/>
      <c r="E44" s="13"/>
    </row>
    <row r="45" spans="1:7">
      <c r="B45" s="13"/>
      <c r="C45" s="13"/>
      <c r="D45" s="13"/>
      <c r="E45" s="13"/>
    </row>
    <row r="46" spans="1:7">
      <c r="B46" s="13"/>
      <c r="C46" s="13"/>
      <c r="D46" s="13"/>
      <c r="E46" s="13"/>
    </row>
  </sheetData>
  <mergeCells count="8">
    <mergeCell ref="A38:B38"/>
    <mergeCell ref="A39:B39"/>
    <mergeCell ref="A1:C1"/>
    <mergeCell ref="A3:C3"/>
    <mergeCell ref="A4:C4"/>
    <mergeCell ref="A5:C5"/>
    <mergeCell ref="A6:B6"/>
    <mergeCell ref="A9:A12"/>
  </mergeCells>
  <pageMargins left="0.70866141732283472" right="0.70866141732283472" top="0.74803149606299213" bottom="0.74803149606299213" header="0.31496062992125984" footer="0.31496062992125984"/>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3"/>
  </sheetPr>
  <dimension ref="A1:F33"/>
  <sheetViews>
    <sheetView zoomScale="80" zoomScaleNormal="80" workbookViewId="0">
      <selection activeCell="C35" sqref="C35"/>
    </sheetView>
  </sheetViews>
  <sheetFormatPr defaultColWidth="8.85546875" defaultRowHeight="15.75"/>
  <cols>
    <col min="1" max="1" width="15.28515625" style="1" customWidth="1"/>
    <col min="2" max="2" width="94.85546875" style="1" customWidth="1"/>
    <col min="3" max="3" width="19.85546875" style="1" customWidth="1"/>
    <col min="4" max="4" width="10.28515625" style="1" customWidth="1"/>
    <col min="5" max="16384" width="8.85546875" style="1"/>
  </cols>
  <sheetData>
    <row r="1" spans="1:4">
      <c r="A1" s="121" t="s">
        <v>58</v>
      </c>
      <c r="B1" s="121"/>
      <c r="C1" s="121"/>
      <c r="D1" s="18"/>
    </row>
    <row r="3" spans="1:4">
      <c r="A3" s="134" t="s">
        <v>70</v>
      </c>
      <c r="B3" s="134"/>
      <c r="C3" s="134"/>
    </row>
    <row r="4" spans="1:4" ht="34.5" customHeight="1">
      <c r="A4" s="134" t="s">
        <v>109</v>
      </c>
      <c r="B4" s="134"/>
      <c r="C4" s="134"/>
    </row>
    <row r="5" spans="1:4">
      <c r="A5" s="134" t="s">
        <v>59</v>
      </c>
      <c r="B5" s="134"/>
      <c r="C5" s="134"/>
    </row>
    <row r="6" spans="1:4" ht="16.5" thickBot="1">
      <c r="A6" s="135" t="s">
        <v>98</v>
      </c>
      <c r="B6" s="135"/>
    </row>
    <row r="7" spans="1:4" ht="93" customHeight="1" thickBot="1">
      <c r="A7" s="19" t="s">
        <v>60</v>
      </c>
      <c r="B7" s="20" t="s">
        <v>61</v>
      </c>
      <c r="C7" s="20" t="s">
        <v>62</v>
      </c>
    </row>
    <row r="8" spans="1:4" ht="16.5" thickBot="1">
      <c r="A8" s="35"/>
      <c r="B8" s="36" t="s">
        <v>63</v>
      </c>
      <c r="C8" s="37"/>
      <c r="D8" s="95"/>
    </row>
    <row r="9" spans="1:4">
      <c r="A9" s="38" t="s">
        <v>74</v>
      </c>
      <c r="B9" s="39" t="s">
        <v>110</v>
      </c>
      <c r="C9" s="43">
        <f>ROUND(25.04*4,2)</f>
        <v>100.16</v>
      </c>
      <c r="D9" s="95"/>
    </row>
    <row r="10" spans="1:4" ht="32.25" thickBot="1">
      <c r="A10" s="21" t="s">
        <v>75</v>
      </c>
      <c r="B10" s="65" t="s">
        <v>73</v>
      </c>
      <c r="C10" s="27">
        <f>ROUND(C9*0.2409,2)</f>
        <v>24.13</v>
      </c>
    </row>
    <row r="11" spans="1:4" ht="32.25" thickBot="1">
      <c r="A11" s="21" t="s">
        <v>76</v>
      </c>
      <c r="B11" s="24" t="s">
        <v>284</v>
      </c>
      <c r="C11" s="27">
        <f>ROUND(1.01*4,2)</f>
        <v>4.04</v>
      </c>
    </row>
    <row r="12" spans="1:4" ht="32.25" thickBot="1">
      <c r="A12" s="21" t="s">
        <v>78</v>
      </c>
      <c r="B12" s="24" t="s">
        <v>337</v>
      </c>
      <c r="C12" s="46">
        <f>ROUND((1.63+11.52)*4,2)</f>
        <v>52.6</v>
      </c>
    </row>
    <row r="13" spans="1:4" ht="32.25" thickBot="1">
      <c r="A13" s="21" t="s">
        <v>79</v>
      </c>
      <c r="B13" s="65" t="s">
        <v>153</v>
      </c>
      <c r="C13" s="27">
        <f>ROUND(1.03*4,2)</f>
        <v>4.12</v>
      </c>
    </row>
    <row r="14" spans="1:4" ht="16.5" thickBot="1">
      <c r="A14" s="21"/>
      <c r="B14" s="25" t="s">
        <v>64</v>
      </c>
      <c r="C14" s="26">
        <f>SUM(C9:C13)</f>
        <v>185.04999999999998</v>
      </c>
    </row>
    <row r="15" spans="1:4" ht="16.5" thickBot="1">
      <c r="A15" s="21"/>
      <c r="B15" s="25" t="s">
        <v>65</v>
      </c>
      <c r="C15" s="27"/>
    </row>
    <row r="16" spans="1:4" ht="32.25" thickBot="1">
      <c r="A16" s="21" t="s">
        <v>83</v>
      </c>
      <c r="B16" s="28" t="s">
        <v>148</v>
      </c>
      <c r="C16" s="27">
        <f>ROUND(C9*0.1,2)</f>
        <v>10.02</v>
      </c>
    </row>
    <row r="17" spans="1:6" ht="32.25" thickBot="1">
      <c r="A17" s="21" t="s">
        <v>75</v>
      </c>
      <c r="B17" s="24" t="s">
        <v>73</v>
      </c>
      <c r="C17" s="27">
        <f>ROUND(C16*0.2409,2)</f>
        <v>2.41</v>
      </c>
    </row>
    <row r="18" spans="1:6" ht="32.25" thickBot="1">
      <c r="A18" s="21" t="s">
        <v>87</v>
      </c>
      <c r="B18" s="23" t="s">
        <v>292</v>
      </c>
      <c r="C18" s="27">
        <f>ROUND((39708/438912)*4,2)</f>
        <v>0.36</v>
      </c>
      <c r="D18" s="30"/>
    </row>
    <row r="19" spans="1:6" ht="32.25" thickBot="1">
      <c r="A19" s="21" t="s">
        <v>84</v>
      </c>
      <c r="B19" s="24" t="s">
        <v>293</v>
      </c>
      <c r="C19" s="27">
        <f>ROUND(2.23*4,2)</f>
        <v>8.92</v>
      </c>
    </row>
    <row r="20" spans="1:6" ht="32.25" thickBot="1">
      <c r="A20" s="21" t="s">
        <v>85</v>
      </c>
      <c r="B20" s="67" t="s">
        <v>294</v>
      </c>
      <c r="C20" s="27">
        <f>ROUND((234731/364914)*4,2)</f>
        <v>2.57</v>
      </c>
    </row>
    <row r="21" spans="1:6" ht="32.25" thickBot="1">
      <c r="A21" s="21" t="s">
        <v>81</v>
      </c>
      <c r="B21" s="29" t="s">
        <v>303</v>
      </c>
      <c r="C21" s="27">
        <f>ROUND(1.54*4,2)</f>
        <v>6.16</v>
      </c>
    </row>
    <row r="22" spans="1:6" ht="32.25" thickBot="1">
      <c r="A22" s="21" t="s">
        <v>77</v>
      </c>
      <c r="B22" s="65" t="s">
        <v>295</v>
      </c>
      <c r="C22" s="27">
        <f>ROUND(1.72*4,2)</f>
        <v>6.88</v>
      </c>
    </row>
    <row r="23" spans="1:6" ht="32.25" thickBot="1">
      <c r="A23" s="21" t="s">
        <v>133</v>
      </c>
      <c r="B23" s="65" t="s">
        <v>304</v>
      </c>
      <c r="C23" s="27">
        <f>ROUND(0.79*4,2)</f>
        <v>3.16</v>
      </c>
    </row>
    <row r="24" spans="1:6" ht="32.25" thickBot="1">
      <c r="A24" s="21" t="s">
        <v>131</v>
      </c>
      <c r="B24" s="24" t="s">
        <v>305</v>
      </c>
      <c r="C24" s="27">
        <f>ROUND((157571/364914)*4,2)</f>
        <v>1.73</v>
      </c>
    </row>
    <row r="25" spans="1:6" ht="32.25" thickBot="1">
      <c r="A25" s="21" t="s">
        <v>86</v>
      </c>
      <c r="B25" s="24" t="s">
        <v>298</v>
      </c>
      <c r="C25" s="27">
        <f>ROUND(0.13*4,2)</f>
        <v>0.52</v>
      </c>
    </row>
    <row r="26" spans="1:6" ht="32.25" thickBot="1">
      <c r="A26" s="21" t="s">
        <v>82</v>
      </c>
      <c r="B26" s="65" t="s">
        <v>354</v>
      </c>
      <c r="C26" s="27">
        <f>ROUND(0.12*4,2)</f>
        <v>0.48</v>
      </c>
    </row>
    <row r="27" spans="1:6" ht="19.5" customHeight="1" thickBot="1">
      <c r="A27" s="21" t="s">
        <v>155</v>
      </c>
      <c r="B27" s="65" t="s">
        <v>145</v>
      </c>
      <c r="C27" s="27">
        <f>ROUND(0.5*4,2)</f>
        <v>2</v>
      </c>
      <c r="F27" s="9"/>
    </row>
    <row r="28" spans="1:6" ht="16.5" thickBot="1">
      <c r="A28" s="21"/>
      <c r="B28" s="22" t="s">
        <v>66</v>
      </c>
      <c r="C28" s="26">
        <f>SUM(C16:C27)</f>
        <v>45.21</v>
      </c>
    </row>
    <row r="29" spans="1:6" ht="16.5" thickBot="1">
      <c r="A29" s="21"/>
      <c r="B29" s="31" t="s">
        <v>67</v>
      </c>
      <c r="C29" s="26">
        <f>C28+C14</f>
        <v>230.26</v>
      </c>
    </row>
    <row r="30" spans="1:6">
      <c r="C30" s="9"/>
    </row>
    <row r="31" spans="1:6" ht="16.5" thickBot="1">
      <c r="C31" s="9"/>
    </row>
    <row r="32" spans="1:6" ht="16.5" thickBot="1">
      <c r="A32" s="130" t="s">
        <v>68</v>
      </c>
      <c r="B32" s="131"/>
      <c r="C32" s="32">
        <v>4</v>
      </c>
    </row>
    <row r="33" spans="1:3" ht="16.5" thickBot="1">
      <c r="A33" s="130" t="s">
        <v>69</v>
      </c>
      <c r="B33" s="131"/>
      <c r="C33" s="33">
        <f>ROUND(C29/C32,2)</f>
        <v>57.57</v>
      </c>
    </row>
  </sheetData>
  <mergeCells count="7">
    <mergeCell ref="A32:B32"/>
    <mergeCell ref="A33:B33"/>
    <mergeCell ref="A1:C1"/>
    <mergeCell ref="A3:C3"/>
    <mergeCell ref="A4:C4"/>
    <mergeCell ref="A5:C5"/>
    <mergeCell ref="A6:B6"/>
  </mergeCells>
  <pageMargins left="0.70866141732283472" right="0.70866141732283472" top="0.74803149606299213" bottom="0.74803149606299213" header="0.31496062992125984"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3"/>
  </sheetPr>
  <dimension ref="A1:G37"/>
  <sheetViews>
    <sheetView zoomScale="80" zoomScaleNormal="80" workbookViewId="0">
      <selection activeCell="C35" sqref="C35"/>
    </sheetView>
  </sheetViews>
  <sheetFormatPr defaultColWidth="8.85546875" defaultRowHeight="15.75"/>
  <cols>
    <col min="1" max="1" width="13.85546875" style="1" customWidth="1"/>
    <col min="2" max="2" width="100" style="1" customWidth="1"/>
    <col min="3" max="3" width="19.85546875" style="1" customWidth="1"/>
    <col min="4" max="4" width="8.85546875" style="1" customWidth="1"/>
    <col min="5" max="5" width="8" style="1" customWidth="1"/>
    <col min="6" max="16384" width="8.85546875" style="1"/>
  </cols>
  <sheetData>
    <row r="1" spans="1:5">
      <c r="A1" s="121" t="s">
        <v>58</v>
      </c>
      <c r="B1" s="121"/>
      <c r="C1" s="121"/>
      <c r="D1" s="18"/>
      <c r="E1" s="18"/>
    </row>
    <row r="3" spans="1:5">
      <c r="A3" s="134" t="s">
        <v>70</v>
      </c>
      <c r="B3" s="134"/>
      <c r="C3" s="134"/>
    </row>
    <row r="4" spans="1:5">
      <c r="A4" s="134" t="s">
        <v>165</v>
      </c>
      <c r="B4" s="134"/>
      <c r="C4" s="134"/>
    </row>
    <row r="5" spans="1:5">
      <c r="A5" s="134" t="s">
        <v>59</v>
      </c>
      <c r="B5" s="134"/>
      <c r="C5" s="134"/>
    </row>
    <row r="6" spans="1:5" ht="16.5" thickBot="1">
      <c r="A6" s="135" t="s">
        <v>189</v>
      </c>
      <c r="B6" s="135"/>
    </row>
    <row r="7" spans="1:5" ht="85.5" customHeight="1" thickBot="1">
      <c r="A7" s="19" t="s">
        <v>60</v>
      </c>
      <c r="B7" s="20" t="s">
        <v>61</v>
      </c>
      <c r="C7" s="20" t="s">
        <v>62</v>
      </c>
    </row>
    <row r="8" spans="1:5" ht="16.5" thickBot="1">
      <c r="A8" s="35"/>
      <c r="B8" s="36" t="s">
        <v>63</v>
      </c>
      <c r="C8" s="37"/>
      <c r="D8" s="15"/>
      <c r="E8" s="95"/>
    </row>
    <row r="9" spans="1:5">
      <c r="A9" s="38" t="s">
        <v>74</v>
      </c>
      <c r="B9" s="39" t="s">
        <v>112</v>
      </c>
      <c r="C9" s="43">
        <f>ROUND(23.86*40,2)</f>
        <v>954.4</v>
      </c>
      <c r="D9" s="94"/>
      <c r="E9" s="94"/>
    </row>
    <row r="10" spans="1:5" ht="32.25" thickBot="1">
      <c r="A10" s="21" t="s">
        <v>75</v>
      </c>
      <c r="B10" s="65" t="s">
        <v>73</v>
      </c>
      <c r="C10" s="27">
        <f>ROUND(C9*0.2409,2)</f>
        <v>229.91</v>
      </c>
    </row>
    <row r="11" spans="1:5" ht="32.25" thickBot="1">
      <c r="A11" s="21" t="s">
        <v>76</v>
      </c>
      <c r="B11" s="24" t="s">
        <v>284</v>
      </c>
      <c r="C11" s="27">
        <f>ROUND((367899/364914)*40,2)</f>
        <v>40.33</v>
      </c>
    </row>
    <row r="12" spans="1:5" ht="32.25" thickBot="1">
      <c r="A12" s="21" t="s">
        <v>78</v>
      </c>
      <c r="B12" s="24" t="s">
        <v>320</v>
      </c>
      <c r="C12" s="46">
        <f>ROUND((1.63+9.22)*40,2)</f>
        <v>434</v>
      </c>
    </row>
    <row r="13" spans="1:5" ht="32.25" thickBot="1">
      <c r="A13" s="21" t="s">
        <v>79</v>
      </c>
      <c r="B13" s="65" t="s">
        <v>290</v>
      </c>
      <c r="C13" s="27">
        <f>ROUND((452717/364914)*40,2)</f>
        <v>49.62</v>
      </c>
    </row>
    <row r="14" spans="1:5" ht="16.5" thickBot="1">
      <c r="A14" s="21"/>
      <c r="B14" s="25" t="s">
        <v>64</v>
      </c>
      <c r="C14" s="26">
        <f>SUM(C9:C13)</f>
        <v>1708.2599999999998</v>
      </c>
    </row>
    <row r="15" spans="1:5" ht="16.5" thickBot="1">
      <c r="A15" s="21"/>
      <c r="B15" s="25" t="s">
        <v>65</v>
      </c>
      <c r="C15" s="27"/>
    </row>
    <row r="16" spans="1:5" ht="32.25" thickBot="1">
      <c r="A16" s="21" t="s">
        <v>83</v>
      </c>
      <c r="B16" s="28" t="s">
        <v>148</v>
      </c>
      <c r="C16" s="27">
        <f>ROUND(C9*0.1,2)</f>
        <v>95.44</v>
      </c>
    </row>
    <row r="17" spans="1:7" ht="32.25" thickBot="1">
      <c r="A17" s="21" t="s">
        <v>75</v>
      </c>
      <c r="B17" s="65" t="s">
        <v>73</v>
      </c>
      <c r="C17" s="27">
        <f>ROUND(C16*0.2409,2)</f>
        <v>22.99</v>
      </c>
    </row>
    <row r="18" spans="1:7" ht="32.25" thickBot="1">
      <c r="A18" s="21" t="s">
        <v>87</v>
      </c>
      <c r="B18" s="23" t="s">
        <v>292</v>
      </c>
      <c r="C18" s="27">
        <f>ROUND((39708/364914)*40,1)</f>
        <v>4.4000000000000004</v>
      </c>
      <c r="E18" s="30"/>
    </row>
    <row r="19" spans="1:7" ht="32.25" thickBot="1">
      <c r="A19" s="21" t="s">
        <v>84</v>
      </c>
      <c r="B19" s="24" t="s">
        <v>293</v>
      </c>
      <c r="C19" s="27">
        <f>ROUND((813902/364914)*40,2)</f>
        <v>89.22</v>
      </c>
    </row>
    <row r="20" spans="1:7" ht="32.25" thickBot="1">
      <c r="A20" s="21" t="s">
        <v>85</v>
      </c>
      <c r="B20" s="67" t="s">
        <v>311</v>
      </c>
      <c r="C20" s="27">
        <f>ROUND(0.64*40,2)</f>
        <v>25.6</v>
      </c>
    </row>
    <row r="21" spans="1:7" ht="32.25" thickBot="1">
      <c r="A21" s="21" t="s">
        <v>81</v>
      </c>
      <c r="B21" s="29" t="s">
        <v>303</v>
      </c>
      <c r="C21" s="27">
        <f>ROUND((561364/364914)*40,2)</f>
        <v>61.53</v>
      </c>
    </row>
    <row r="22" spans="1:7" ht="32.25" thickBot="1">
      <c r="A22" s="21" t="s">
        <v>77</v>
      </c>
      <c r="B22" s="65" t="s">
        <v>295</v>
      </c>
      <c r="C22" s="27">
        <f>ROUND(1.72*40,2)</f>
        <v>68.8</v>
      </c>
    </row>
    <row r="23" spans="1:7" ht="32.25" thickBot="1">
      <c r="A23" s="21" t="s">
        <v>133</v>
      </c>
      <c r="B23" s="65" t="s">
        <v>338</v>
      </c>
      <c r="C23" s="27">
        <f>ROUND((286606/438912)*40,2)</f>
        <v>26.12</v>
      </c>
    </row>
    <row r="24" spans="1:7" ht="32.25" thickBot="1">
      <c r="A24" s="21" t="s">
        <v>131</v>
      </c>
      <c r="B24" s="24" t="s">
        <v>323</v>
      </c>
      <c r="C24" s="27">
        <f>ROUND((157571/364914)*40,2)</f>
        <v>17.27</v>
      </c>
    </row>
    <row r="25" spans="1:7" ht="32.25" thickBot="1">
      <c r="A25" s="21" t="s">
        <v>86</v>
      </c>
      <c r="B25" s="24" t="s">
        <v>298</v>
      </c>
      <c r="C25" s="27">
        <f>ROUND((46423/364914)*40,2)</f>
        <v>5.09</v>
      </c>
    </row>
    <row r="26" spans="1:7" ht="32.25" thickBot="1">
      <c r="A26" s="21" t="s">
        <v>82</v>
      </c>
      <c r="B26" s="65" t="s">
        <v>354</v>
      </c>
      <c r="C26" s="27">
        <f>ROUND((42368/364914)*40,2)</f>
        <v>4.6399999999999997</v>
      </c>
    </row>
    <row r="27" spans="1:7" ht="16.5" thickBot="1">
      <c r="A27" s="21" t="s">
        <v>155</v>
      </c>
      <c r="B27" s="24" t="s">
        <v>145</v>
      </c>
      <c r="C27" s="27">
        <f>ROUND(0.5*40,2)</f>
        <v>20</v>
      </c>
      <c r="G27" s="9"/>
    </row>
    <row r="28" spans="1:7" ht="16.5" thickBot="1">
      <c r="A28" s="21"/>
      <c r="B28" s="22" t="s">
        <v>66</v>
      </c>
      <c r="C28" s="26">
        <f>SUM(C16:C27)</f>
        <v>441.09999999999997</v>
      </c>
    </row>
    <row r="29" spans="1:7" ht="16.5" thickBot="1">
      <c r="A29" s="21"/>
      <c r="B29" s="31" t="s">
        <v>67</v>
      </c>
      <c r="C29" s="26">
        <f>C28+C14</f>
        <v>2149.3599999999997</v>
      </c>
    </row>
    <row r="30" spans="1:7">
      <c r="C30" s="9"/>
    </row>
    <row r="31" spans="1:7" ht="16.5" thickBot="1">
      <c r="C31" s="9"/>
    </row>
    <row r="32" spans="1:7" ht="16.5" thickBot="1">
      <c r="A32" s="130" t="s">
        <v>68</v>
      </c>
      <c r="B32" s="131"/>
      <c r="C32" s="32">
        <v>40</v>
      </c>
    </row>
    <row r="33" spans="1:6" ht="16.5" thickBot="1">
      <c r="A33" s="130" t="s">
        <v>69</v>
      </c>
      <c r="B33" s="131"/>
      <c r="C33" s="33">
        <f>ROUND(C29/C32,2)</f>
        <v>53.73</v>
      </c>
    </row>
    <row r="35" spans="1:6">
      <c r="A35" s="13"/>
      <c r="B35" s="13"/>
      <c r="C35" s="45"/>
      <c r="D35" s="13"/>
      <c r="E35" s="13"/>
      <c r="F35" s="13"/>
    </row>
    <row r="36" spans="1:6">
      <c r="A36" s="132"/>
      <c r="B36" s="132"/>
      <c r="C36" s="13"/>
      <c r="D36" s="13"/>
      <c r="E36" s="13"/>
      <c r="F36" s="13"/>
    </row>
    <row r="37" spans="1:6" ht="18.75">
      <c r="A37" s="133"/>
      <c r="B37" s="133"/>
      <c r="C37" s="34"/>
      <c r="D37" s="34"/>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3"/>
  </sheetPr>
  <dimension ref="A1:G37"/>
  <sheetViews>
    <sheetView zoomScale="80" zoomScaleNormal="80" workbookViewId="0">
      <selection activeCell="C35" sqref="C35"/>
    </sheetView>
  </sheetViews>
  <sheetFormatPr defaultColWidth="8.85546875" defaultRowHeight="15.75"/>
  <cols>
    <col min="1" max="1" width="15.28515625" style="1" customWidth="1"/>
    <col min="2" max="2" width="98" style="1" customWidth="1"/>
    <col min="3" max="3" width="19.85546875" style="1" customWidth="1"/>
    <col min="4" max="4" width="8.42578125" style="1" customWidth="1"/>
    <col min="5" max="5" width="7" style="1" customWidth="1"/>
    <col min="6" max="16384" width="8.85546875" style="1"/>
  </cols>
  <sheetData>
    <row r="1" spans="1:5">
      <c r="A1" s="121" t="s">
        <v>58</v>
      </c>
      <c r="B1" s="121"/>
      <c r="C1" s="121"/>
      <c r="D1" s="18"/>
      <c r="E1" s="18"/>
    </row>
    <row r="3" spans="1:5">
      <c r="A3" s="134" t="s">
        <v>70</v>
      </c>
      <c r="B3" s="134"/>
      <c r="C3" s="134"/>
    </row>
    <row r="4" spans="1:5">
      <c r="A4" s="134" t="s">
        <v>166</v>
      </c>
      <c r="B4" s="134"/>
      <c r="C4" s="134"/>
    </row>
    <row r="5" spans="1:5">
      <c r="A5" s="134" t="s">
        <v>59</v>
      </c>
      <c r="B5" s="134"/>
      <c r="C5" s="134"/>
    </row>
    <row r="6" spans="1:5" ht="16.5" thickBot="1">
      <c r="A6" s="135" t="s">
        <v>98</v>
      </c>
      <c r="B6" s="135"/>
    </row>
    <row r="7" spans="1:5" ht="87" customHeight="1" thickBot="1">
      <c r="A7" s="19" t="s">
        <v>60</v>
      </c>
      <c r="B7" s="20" t="s">
        <v>61</v>
      </c>
      <c r="C7" s="20" t="s">
        <v>62</v>
      </c>
    </row>
    <row r="8" spans="1:5" ht="16.5" thickBot="1">
      <c r="A8" s="35"/>
      <c r="B8" s="36" t="s">
        <v>63</v>
      </c>
      <c r="C8" s="37"/>
      <c r="D8" s="15"/>
      <c r="E8" s="15"/>
    </row>
    <row r="9" spans="1:5">
      <c r="A9" s="38" t="s">
        <v>74</v>
      </c>
      <c r="B9" s="39" t="s">
        <v>113</v>
      </c>
      <c r="C9" s="43">
        <f>ROUND(21.89*4,2)</f>
        <v>87.56</v>
      </c>
      <c r="D9" s="94"/>
      <c r="E9" s="95"/>
    </row>
    <row r="10" spans="1:5" ht="32.25" thickBot="1">
      <c r="A10" s="21" t="s">
        <v>75</v>
      </c>
      <c r="B10" s="65" t="s">
        <v>73</v>
      </c>
      <c r="C10" s="27">
        <f>ROUND(C9*0.2409,2)</f>
        <v>21.09</v>
      </c>
    </row>
    <row r="11" spans="1:5" ht="32.25" thickBot="1">
      <c r="A11" s="21" t="s">
        <v>76</v>
      </c>
      <c r="B11" s="24" t="s">
        <v>284</v>
      </c>
      <c r="C11" s="27">
        <f>ROUND(1.01*4,2)</f>
        <v>4.04</v>
      </c>
    </row>
    <row r="12" spans="1:5" ht="32.25" thickBot="1">
      <c r="A12" s="21" t="s">
        <v>78</v>
      </c>
      <c r="B12" s="24" t="s">
        <v>339</v>
      </c>
      <c r="C12" s="46">
        <f>ROUND((1.63+6.91)*4,2)</f>
        <v>34.159999999999997</v>
      </c>
    </row>
    <row r="13" spans="1:5" ht="32.25" thickBot="1">
      <c r="A13" s="21" t="s">
        <v>79</v>
      </c>
      <c r="B13" s="65" t="s">
        <v>290</v>
      </c>
      <c r="C13" s="27">
        <f>ROUND(1.24*4,2)</f>
        <v>4.96</v>
      </c>
    </row>
    <row r="14" spans="1:5" ht="16.5" thickBot="1">
      <c r="A14" s="21"/>
      <c r="B14" s="25" t="s">
        <v>64</v>
      </c>
      <c r="C14" s="26">
        <f>SUM(C9:C13)</f>
        <v>151.81000000000003</v>
      </c>
    </row>
    <row r="15" spans="1:5" ht="16.5" thickBot="1">
      <c r="A15" s="21"/>
      <c r="B15" s="25" t="s">
        <v>65</v>
      </c>
      <c r="C15" s="27"/>
    </row>
    <row r="16" spans="1:5" ht="32.25" thickBot="1">
      <c r="A16" s="21" t="s">
        <v>83</v>
      </c>
      <c r="B16" s="28" t="s">
        <v>148</v>
      </c>
      <c r="C16" s="27">
        <f>ROUND(C9*0.1,2)</f>
        <v>8.76</v>
      </c>
    </row>
    <row r="17" spans="1:7" ht="32.25" thickBot="1">
      <c r="A17" s="21" t="s">
        <v>75</v>
      </c>
      <c r="B17" s="65" t="s">
        <v>73</v>
      </c>
      <c r="C17" s="27">
        <f>ROUND(C16*0.2409,2)</f>
        <v>2.11</v>
      </c>
    </row>
    <row r="18" spans="1:7" ht="32.25" thickBot="1">
      <c r="A18" s="21" t="s">
        <v>87</v>
      </c>
      <c r="B18" s="23" t="s">
        <v>292</v>
      </c>
      <c r="C18" s="27">
        <f>ROUND(0.11*4,2)</f>
        <v>0.44</v>
      </c>
      <c r="E18" s="30"/>
    </row>
    <row r="19" spans="1:7" ht="32.25" thickBot="1">
      <c r="A19" s="21" t="s">
        <v>84</v>
      </c>
      <c r="B19" s="24" t="s">
        <v>293</v>
      </c>
      <c r="C19" s="27">
        <f>ROUND(2.23*4,2)</f>
        <v>8.92</v>
      </c>
    </row>
    <row r="20" spans="1:7" ht="32.25" thickBot="1">
      <c r="A20" s="21" t="s">
        <v>85</v>
      </c>
      <c r="B20" s="67" t="s">
        <v>294</v>
      </c>
      <c r="C20" s="27">
        <f>ROUND(0.64*4,2)</f>
        <v>2.56</v>
      </c>
    </row>
    <row r="21" spans="1:7" ht="32.25" thickBot="1">
      <c r="A21" s="21" t="s">
        <v>81</v>
      </c>
      <c r="B21" s="29" t="s">
        <v>303</v>
      </c>
      <c r="C21" s="27">
        <f>ROUND(1.54*4,2)</f>
        <v>6.16</v>
      </c>
    </row>
    <row r="22" spans="1:7" ht="32.25" thickBot="1">
      <c r="A22" s="21" t="s">
        <v>77</v>
      </c>
      <c r="B22" s="65" t="s">
        <v>295</v>
      </c>
      <c r="C22" s="27">
        <f>ROUND(1.72*4,2)</f>
        <v>6.88</v>
      </c>
    </row>
    <row r="23" spans="1:7" ht="32.25" thickBot="1">
      <c r="A23" s="21" t="s">
        <v>133</v>
      </c>
      <c r="B23" s="24" t="s">
        <v>304</v>
      </c>
      <c r="C23" s="27">
        <f>ROUND(0.79*4,2)</f>
        <v>3.16</v>
      </c>
    </row>
    <row r="24" spans="1:7" ht="32.25" thickBot="1">
      <c r="A24" s="21" t="s">
        <v>131</v>
      </c>
      <c r="B24" s="24" t="s">
        <v>297</v>
      </c>
      <c r="C24" s="27">
        <f>ROUND(0.43*4,2)</f>
        <v>1.72</v>
      </c>
    </row>
    <row r="25" spans="1:7" ht="32.25" thickBot="1">
      <c r="A25" s="21" t="s">
        <v>86</v>
      </c>
      <c r="B25" s="24" t="s">
        <v>313</v>
      </c>
      <c r="C25" s="27">
        <f>ROUND(0.13*4,2)</f>
        <v>0.52</v>
      </c>
    </row>
    <row r="26" spans="1:7" ht="32.25" thickBot="1">
      <c r="A26" s="21" t="s">
        <v>82</v>
      </c>
      <c r="B26" s="65" t="s">
        <v>354</v>
      </c>
      <c r="C26" s="27">
        <f>ROUND(0.12*4,2)</f>
        <v>0.48</v>
      </c>
    </row>
    <row r="27" spans="1:7" ht="16.5" thickBot="1">
      <c r="A27" s="21" t="s">
        <v>155</v>
      </c>
      <c r="B27" s="24" t="s">
        <v>145</v>
      </c>
      <c r="C27" s="27">
        <f>ROUND(0.5*4,2)</f>
        <v>2</v>
      </c>
      <c r="G27" s="9"/>
    </row>
    <row r="28" spans="1:7" ht="16.5" thickBot="1">
      <c r="A28" s="21"/>
      <c r="B28" s="22" t="s">
        <v>66</v>
      </c>
      <c r="C28" s="26">
        <f>SUM(C16:C27)</f>
        <v>43.709999999999994</v>
      </c>
    </row>
    <row r="29" spans="1:7" ht="16.5" thickBot="1">
      <c r="A29" s="21"/>
      <c r="B29" s="31" t="s">
        <v>67</v>
      </c>
      <c r="C29" s="26">
        <f>C28+C14</f>
        <v>195.52000000000004</v>
      </c>
    </row>
    <row r="30" spans="1:7">
      <c r="C30" s="9"/>
    </row>
    <row r="31" spans="1:7" ht="16.5" thickBot="1">
      <c r="C31" s="9"/>
    </row>
    <row r="32" spans="1:7" ht="16.5" thickBot="1">
      <c r="A32" s="130" t="s">
        <v>68</v>
      </c>
      <c r="B32" s="131"/>
      <c r="C32" s="32">
        <v>4</v>
      </c>
    </row>
    <row r="33" spans="1:6" ht="16.5" thickBot="1">
      <c r="A33" s="130" t="s">
        <v>69</v>
      </c>
      <c r="B33" s="131"/>
      <c r="C33" s="33">
        <f>ROUND(C29/C32,2)</f>
        <v>48.88</v>
      </c>
    </row>
    <row r="35" spans="1:6">
      <c r="A35" s="13"/>
      <c r="B35" s="13"/>
      <c r="C35" s="45"/>
      <c r="D35" s="13"/>
      <c r="E35" s="13"/>
      <c r="F35" s="13"/>
    </row>
    <row r="36" spans="1:6">
      <c r="A36" s="132"/>
      <c r="B36" s="132"/>
      <c r="C36" s="13"/>
      <c r="D36" s="13"/>
      <c r="E36" s="13"/>
      <c r="F36" s="13"/>
    </row>
    <row r="37" spans="1:6" ht="18.75">
      <c r="A37" s="133"/>
      <c r="B37" s="133"/>
      <c r="C37" s="34"/>
      <c r="D37" s="34"/>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2"/>
  <sheetViews>
    <sheetView zoomScale="80" zoomScaleNormal="80" workbookViewId="0">
      <selection activeCell="J43" sqref="J43"/>
    </sheetView>
  </sheetViews>
  <sheetFormatPr defaultColWidth="8.85546875" defaultRowHeight="15.75"/>
  <cols>
    <col min="1" max="1" width="15.5703125" style="1" customWidth="1"/>
    <col min="2" max="2" width="91.42578125" style="1" customWidth="1"/>
    <col min="3" max="3" width="19.85546875" style="1" customWidth="1"/>
    <col min="4" max="4" width="11.5703125" style="1" customWidth="1"/>
    <col min="5" max="16384" width="8.85546875" style="1"/>
  </cols>
  <sheetData>
    <row r="1" spans="1:5">
      <c r="A1" s="121" t="s">
        <v>58</v>
      </c>
      <c r="B1" s="121"/>
      <c r="C1" s="121"/>
      <c r="D1" s="18"/>
      <c r="E1" s="18"/>
    </row>
    <row r="3" spans="1:5">
      <c r="A3" s="134" t="s">
        <v>70</v>
      </c>
      <c r="B3" s="134"/>
      <c r="C3" s="134"/>
    </row>
    <row r="4" spans="1:5" ht="33.75" customHeight="1">
      <c r="A4" s="134" t="s">
        <v>71</v>
      </c>
      <c r="B4" s="134"/>
      <c r="C4" s="134"/>
    </row>
    <row r="5" spans="1:5">
      <c r="A5" s="134" t="s">
        <v>59</v>
      </c>
      <c r="B5" s="134"/>
      <c r="C5" s="134"/>
    </row>
    <row r="6" spans="1:5" ht="16.5" thickBot="1">
      <c r="A6" s="135" t="s">
        <v>72</v>
      </c>
      <c r="B6" s="135"/>
    </row>
    <row r="7" spans="1:5" ht="79.5" thickBot="1">
      <c r="A7" s="19" t="s">
        <v>60</v>
      </c>
      <c r="B7" s="20" t="s">
        <v>61</v>
      </c>
      <c r="C7" s="20" t="s">
        <v>62</v>
      </c>
    </row>
    <row r="8" spans="1:5" ht="16.5" thickBot="1">
      <c r="A8" s="35"/>
      <c r="B8" s="36" t="s">
        <v>63</v>
      </c>
      <c r="C8" s="37"/>
      <c r="D8" s="95"/>
    </row>
    <row r="9" spans="1:5" ht="31.5">
      <c r="A9" s="136" t="s">
        <v>74</v>
      </c>
      <c r="B9" s="62" t="s">
        <v>283</v>
      </c>
      <c r="C9" s="43">
        <f>ROUND(((14.78+8.98)/2)*204,2)</f>
        <v>2423.52</v>
      </c>
      <c r="D9" s="96"/>
    </row>
    <row r="10" spans="1:5">
      <c r="A10" s="137"/>
      <c r="B10" s="63" t="s">
        <v>300</v>
      </c>
      <c r="C10" s="104">
        <f>ROUND(8.98*204,2)</f>
        <v>1831.92</v>
      </c>
      <c r="D10" s="85"/>
    </row>
    <row r="11" spans="1:5" ht="16.5" thickBot="1">
      <c r="A11" s="138"/>
      <c r="B11" s="64" t="s">
        <v>299</v>
      </c>
      <c r="C11" s="105">
        <f>ROUND(6.73*204,2)</f>
        <v>1372.92</v>
      </c>
      <c r="D11" s="96"/>
    </row>
    <row r="12" spans="1:5" ht="32.25" thickBot="1">
      <c r="A12" s="21" t="s">
        <v>75</v>
      </c>
      <c r="B12" s="65" t="s">
        <v>73</v>
      </c>
      <c r="C12" s="27">
        <f>ROUND((C9+C10+C11)*0.2409,2)</f>
        <v>1355.87</v>
      </c>
    </row>
    <row r="13" spans="1:5" ht="32.25" thickBot="1">
      <c r="A13" s="21" t="s">
        <v>76</v>
      </c>
      <c r="B13" s="65" t="s">
        <v>284</v>
      </c>
      <c r="C13" s="27">
        <f>ROUND((367899/364914)*204,2)</f>
        <v>205.67</v>
      </c>
    </row>
    <row r="14" spans="1:5" ht="32.25" thickBot="1">
      <c r="A14" s="21" t="s">
        <v>78</v>
      </c>
      <c r="B14" s="65" t="s">
        <v>289</v>
      </c>
      <c r="C14" s="46">
        <f>ROUND(((596554/364914)+6.91)*204,2)</f>
        <v>1743.14</v>
      </c>
    </row>
    <row r="15" spans="1:5" ht="32.25" thickBot="1">
      <c r="A15" s="21" t="s">
        <v>79</v>
      </c>
      <c r="B15" s="65" t="s">
        <v>290</v>
      </c>
      <c r="C15" s="27">
        <f>ROUND((452717/364914)*204,2)</f>
        <v>253.09</v>
      </c>
    </row>
    <row r="16" spans="1:5" ht="32.25" thickBot="1">
      <c r="A16" s="21" t="s">
        <v>81</v>
      </c>
      <c r="B16" s="65" t="s">
        <v>286</v>
      </c>
      <c r="C16" s="27">
        <f>ROUND((624380/364914)*204,2)</f>
        <v>349.05</v>
      </c>
    </row>
    <row r="17" spans="1:7" ht="32.25" thickBot="1">
      <c r="A17" s="21" t="s">
        <v>154</v>
      </c>
      <c r="B17" s="65" t="s">
        <v>287</v>
      </c>
      <c r="C17" s="27">
        <f>ROUND((500471/364914)*204,1)</f>
        <v>279.8</v>
      </c>
    </row>
    <row r="18" spans="1:7" ht="32.25" thickBot="1">
      <c r="A18" s="21" t="s">
        <v>80</v>
      </c>
      <c r="B18" s="65" t="s">
        <v>291</v>
      </c>
      <c r="C18" s="46">
        <f>ROUND((15/100)*34*1.06*204,2)</f>
        <v>1102.82</v>
      </c>
      <c r="D18" s="9"/>
    </row>
    <row r="19" spans="1:7" ht="16.5" thickBot="1">
      <c r="A19" s="21"/>
      <c r="B19" s="66" t="s">
        <v>64</v>
      </c>
      <c r="C19" s="26">
        <f>SUM(C9:C18)</f>
        <v>10917.8</v>
      </c>
    </row>
    <row r="20" spans="1:7" ht="16.5" thickBot="1">
      <c r="A20" s="21"/>
      <c r="B20" s="66" t="s">
        <v>65</v>
      </c>
      <c r="C20" s="27"/>
    </row>
    <row r="21" spans="1:7" ht="32.25" thickBot="1">
      <c r="A21" s="21" t="s">
        <v>83</v>
      </c>
      <c r="B21" s="28" t="s">
        <v>146</v>
      </c>
      <c r="C21" s="27">
        <f>ROUND((C9+C10+C11)*0.15,2)</f>
        <v>844.25</v>
      </c>
    </row>
    <row r="22" spans="1:7" ht="32.25" thickBot="1">
      <c r="A22" s="21" t="s">
        <v>75</v>
      </c>
      <c r="B22" s="65" t="s">
        <v>73</v>
      </c>
      <c r="C22" s="27">
        <f>ROUND(C21*0.2409,2)</f>
        <v>203.38</v>
      </c>
    </row>
    <row r="23" spans="1:7" ht="32.25" thickBot="1">
      <c r="A23" s="21" t="s">
        <v>87</v>
      </c>
      <c r="B23" s="67" t="s">
        <v>292</v>
      </c>
      <c r="C23" s="27">
        <f>ROUND((39708/364914)*204,1)</f>
        <v>22.2</v>
      </c>
    </row>
    <row r="24" spans="1:7" ht="32.25" thickBot="1">
      <c r="A24" s="21" t="s">
        <v>84</v>
      </c>
      <c r="B24" s="65" t="s">
        <v>293</v>
      </c>
      <c r="C24" s="27">
        <f>ROUND((813902/364914)*204,1)</f>
        <v>455</v>
      </c>
    </row>
    <row r="25" spans="1:7" ht="32.25" thickBot="1">
      <c r="A25" s="21" t="s">
        <v>85</v>
      </c>
      <c r="B25" s="67" t="s">
        <v>294</v>
      </c>
      <c r="C25" s="27">
        <f>ROUND((234731/364914)*204,2)</f>
        <v>131.22</v>
      </c>
    </row>
    <row r="26" spans="1:7" ht="32.25" thickBot="1">
      <c r="A26" s="21" t="s">
        <v>81</v>
      </c>
      <c r="B26" s="68" t="s">
        <v>285</v>
      </c>
      <c r="C26" s="27">
        <f>ROUND((561364/364914)*204,2)</f>
        <v>313.82</v>
      </c>
    </row>
    <row r="27" spans="1:7" ht="32.25" thickBot="1">
      <c r="A27" s="21" t="s">
        <v>77</v>
      </c>
      <c r="B27" s="65" t="s">
        <v>295</v>
      </c>
      <c r="C27" s="27">
        <f>ROUND((627676/364914)*204,1)</f>
        <v>350.9</v>
      </c>
    </row>
    <row r="28" spans="1:7" ht="32.25" thickBot="1">
      <c r="A28" s="21" t="s">
        <v>133</v>
      </c>
      <c r="B28" s="65" t="s">
        <v>296</v>
      </c>
      <c r="C28" s="27">
        <f>ROUND((286606/364914)*204,2)</f>
        <v>160.22</v>
      </c>
    </row>
    <row r="29" spans="1:7" ht="35.25" customHeight="1" thickBot="1">
      <c r="A29" s="21" t="s">
        <v>131</v>
      </c>
      <c r="B29" s="65" t="s">
        <v>297</v>
      </c>
      <c r="C29" s="27">
        <f>ROUND((157571/364914)*204,2)</f>
        <v>88.09</v>
      </c>
    </row>
    <row r="30" spans="1:7" ht="32.25" thickBot="1">
      <c r="A30" s="21" t="s">
        <v>86</v>
      </c>
      <c r="B30" s="65" t="s">
        <v>298</v>
      </c>
      <c r="C30" s="27">
        <f>ROUND((46423/364914)*204,2)</f>
        <v>25.95</v>
      </c>
    </row>
    <row r="31" spans="1:7" ht="32.25" thickBot="1">
      <c r="A31" s="21" t="s">
        <v>82</v>
      </c>
      <c r="B31" s="65" t="s">
        <v>354</v>
      </c>
      <c r="C31" s="27">
        <f>ROUND((42368/364914)*204,2)</f>
        <v>23.69</v>
      </c>
    </row>
    <row r="32" spans="1:7" ht="48" thickBot="1">
      <c r="A32" s="21" t="s">
        <v>155</v>
      </c>
      <c r="B32" s="65" t="s">
        <v>363</v>
      </c>
      <c r="C32" s="27">
        <f>ROUND(1.12*204+4.14*204,2)</f>
        <v>1073.04</v>
      </c>
      <c r="G32" s="9"/>
    </row>
    <row r="33" spans="1:6" ht="16.5" thickBot="1">
      <c r="A33" s="21"/>
      <c r="B33" s="66" t="s">
        <v>66</v>
      </c>
      <c r="C33" s="26">
        <f>SUM(C21:C32)</f>
        <v>3691.7599999999998</v>
      </c>
    </row>
    <row r="34" spans="1:6" ht="16.5" thickBot="1">
      <c r="A34" s="21"/>
      <c r="B34" s="31" t="s">
        <v>67</v>
      </c>
      <c r="C34" s="26">
        <f>C33+C19</f>
        <v>14609.56</v>
      </c>
    </row>
    <row r="35" spans="1:6">
      <c r="C35" s="9"/>
    </row>
    <row r="36" spans="1:6" ht="16.5" thickBot="1">
      <c r="C36" s="9"/>
    </row>
    <row r="37" spans="1:6" ht="16.5" thickBot="1">
      <c r="A37" s="130" t="s">
        <v>68</v>
      </c>
      <c r="B37" s="131"/>
      <c r="C37" s="32">
        <v>204</v>
      </c>
    </row>
    <row r="38" spans="1:6" ht="16.5" thickBot="1">
      <c r="A38" s="130" t="s">
        <v>69</v>
      </c>
      <c r="B38" s="131"/>
      <c r="C38" s="33">
        <f>ROUND(C34/C37,2)</f>
        <v>71.62</v>
      </c>
      <c r="D38" s="109"/>
    </row>
    <row r="40" spans="1:6">
      <c r="A40" s="13"/>
      <c r="B40" s="13"/>
      <c r="C40" s="13"/>
      <c r="D40" s="13"/>
      <c r="E40" s="13"/>
      <c r="F40" s="13"/>
    </row>
    <row r="41" spans="1:6">
      <c r="A41" s="132"/>
      <c r="B41" s="132"/>
      <c r="C41" s="13"/>
      <c r="D41" s="13"/>
      <c r="E41" s="13"/>
      <c r="F41" s="13"/>
    </row>
    <row r="42" spans="1:6" ht="18.75" hidden="1">
      <c r="A42" s="133"/>
      <c r="B42" s="133"/>
      <c r="C42" s="34"/>
      <c r="D42" s="34"/>
      <c r="E42" s="13"/>
      <c r="F42" s="13"/>
    </row>
  </sheetData>
  <mergeCells count="10">
    <mergeCell ref="A38:B38"/>
    <mergeCell ref="A41:B41"/>
    <mergeCell ref="A42:B42"/>
    <mergeCell ref="A1:C1"/>
    <mergeCell ref="A3:C3"/>
    <mergeCell ref="A4:C4"/>
    <mergeCell ref="A5:C5"/>
    <mergeCell ref="A6:B6"/>
    <mergeCell ref="A37:B37"/>
    <mergeCell ref="A9:A11"/>
  </mergeCells>
  <pageMargins left="0.70866141732283472" right="0.70866141732283472" top="0.74803149606299213" bottom="0.74803149606299213" header="0.31496062992125984" footer="0.31496062992125984"/>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2" tint="-0.499984740745262"/>
  </sheetPr>
  <dimension ref="A1:F33"/>
  <sheetViews>
    <sheetView zoomScale="80" zoomScaleNormal="80" workbookViewId="0">
      <selection activeCell="C35" sqref="C35"/>
    </sheetView>
  </sheetViews>
  <sheetFormatPr defaultColWidth="8.85546875" defaultRowHeight="15.75"/>
  <cols>
    <col min="1" max="1" width="15.5703125" style="1" customWidth="1"/>
    <col min="2" max="2" width="90.42578125" style="1" customWidth="1"/>
    <col min="3" max="3" width="19.85546875" style="1" customWidth="1"/>
    <col min="4" max="16384" width="8.85546875" style="1"/>
  </cols>
  <sheetData>
    <row r="1" spans="1:4">
      <c r="A1" s="121" t="s">
        <v>58</v>
      </c>
      <c r="B1" s="121"/>
      <c r="C1" s="121"/>
      <c r="D1" s="18"/>
    </row>
    <row r="3" spans="1:4">
      <c r="A3" s="134" t="s">
        <v>70</v>
      </c>
      <c r="B3" s="134"/>
      <c r="C3" s="134"/>
    </row>
    <row r="4" spans="1:4">
      <c r="A4" s="134" t="s">
        <v>167</v>
      </c>
      <c r="B4" s="134"/>
      <c r="C4" s="134"/>
    </row>
    <row r="5" spans="1:4">
      <c r="A5" s="134" t="s">
        <v>59</v>
      </c>
      <c r="B5" s="134"/>
      <c r="C5" s="134"/>
    </row>
    <row r="6" spans="1:4" ht="16.5" thickBot="1">
      <c r="A6" s="135" t="s">
        <v>111</v>
      </c>
      <c r="B6" s="135"/>
    </row>
    <row r="7" spans="1:4" ht="89.25" customHeight="1" thickBot="1">
      <c r="A7" s="19" t="s">
        <v>60</v>
      </c>
      <c r="B7" s="20" t="s">
        <v>61</v>
      </c>
      <c r="C7" s="20" t="s">
        <v>62</v>
      </c>
    </row>
    <row r="8" spans="1:4" ht="16.5" thickBot="1">
      <c r="A8" s="35"/>
      <c r="B8" s="36" t="s">
        <v>63</v>
      </c>
      <c r="C8" s="37"/>
      <c r="D8" s="95"/>
    </row>
    <row r="9" spans="1:4">
      <c r="A9" s="38" t="s">
        <v>74</v>
      </c>
      <c r="B9" s="39" t="s">
        <v>114</v>
      </c>
      <c r="C9" s="43">
        <f>ROUND(14.49*198,2)</f>
        <v>2869.02</v>
      </c>
      <c r="D9" s="95"/>
    </row>
    <row r="10" spans="1:4" ht="32.25" thickBot="1">
      <c r="A10" s="21" t="s">
        <v>75</v>
      </c>
      <c r="B10" s="65" t="s">
        <v>73</v>
      </c>
      <c r="C10" s="27">
        <f>ROUND(C9*0.2409,2)</f>
        <v>691.15</v>
      </c>
    </row>
    <row r="11" spans="1:4" ht="32.25" thickBot="1">
      <c r="A11" s="21" t="s">
        <v>76</v>
      </c>
      <c r="B11" s="24" t="s">
        <v>284</v>
      </c>
      <c r="C11" s="27">
        <f>ROUND((367899/364914)*198,1)</f>
        <v>199.6</v>
      </c>
    </row>
    <row r="12" spans="1:4" ht="32.25" thickBot="1">
      <c r="A12" s="21" t="s">
        <v>78</v>
      </c>
      <c r="B12" s="65" t="s">
        <v>340</v>
      </c>
      <c r="C12" s="46">
        <f>ROUND((596554/364914)*198,2)</f>
        <v>323.69</v>
      </c>
    </row>
    <row r="13" spans="1:4" ht="32.25" thickBot="1">
      <c r="A13" s="21" t="s">
        <v>79</v>
      </c>
      <c r="B13" s="65" t="s">
        <v>290</v>
      </c>
      <c r="C13" s="27">
        <f>ROUND((452717/364914)*198,2)</f>
        <v>245.64</v>
      </c>
    </row>
    <row r="14" spans="1:4" ht="16.5" thickBot="1">
      <c r="A14" s="21"/>
      <c r="B14" s="25" t="s">
        <v>64</v>
      </c>
      <c r="C14" s="26">
        <f>SUM(C9:C13)</f>
        <v>4329.1000000000004</v>
      </c>
    </row>
    <row r="15" spans="1:4" ht="16.5" thickBot="1">
      <c r="A15" s="21"/>
      <c r="B15" s="25" t="s">
        <v>65</v>
      </c>
      <c r="C15" s="27"/>
    </row>
    <row r="16" spans="1:4" ht="32.25" thickBot="1">
      <c r="A16" s="21" t="s">
        <v>83</v>
      </c>
      <c r="B16" s="28" t="s">
        <v>147</v>
      </c>
      <c r="C16" s="27">
        <f>ROUND(C9*0.25,2)</f>
        <v>717.26</v>
      </c>
    </row>
    <row r="17" spans="1:6" ht="32.25" thickBot="1">
      <c r="A17" s="21" t="s">
        <v>75</v>
      </c>
      <c r="B17" s="65" t="s">
        <v>73</v>
      </c>
      <c r="C17" s="27">
        <f>ROUND(C16*0.2409,2)</f>
        <v>172.79</v>
      </c>
    </row>
    <row r="18" spans="1:6" ht="32.25" thickBot="1">
      <c r="A18" s="21" t="s">
        <v>87</v>
      </c>
      <c r="B18" s="67" t="s">
        <v>292</v>
      </c>
      <c r="C18" s="27">
        <f>ROUND((39708/364914)*198,2)</f>
        <v>21.55</v>
      </c>
      <c r="D18" s="30"/>
    </row>
    <row r="19" spans="1:6" ht="32.25" thickBot="1">
      <c r="A19" s="21" t="s">
        <v>84</v>
      </c>
      <c r="B19" s="24" t="s">
        <v>293</v>
      </c>
      <c r="C19" s="27">
        <f>ROUND((813902/364914)*198,2)</f>
        <v>441.62</v>
      </c>
    </row>
    <row r="20" spans="1:6" ht="32.25" thickBot="1">
      <c r="A20" s="21" t="s">
        <v>85</v>
      </c>
      <c r="B20" s="67" t="s">
        <v>302</v>
      </c>
      <c r="C20" s="27">
        <f>ROUND((234731/364914)*198,2)</f>
        <v>127.36</v>
      </c>
    </row>
    <row r="21" spans="1:6" ht="32.25" thickBot="1">
      <c r="A21" s="21" t="s">
        <v>81</v>
      </c>
      <c r="B21" s="29" t="s">
        <v>303</v>
      </c>
      <c r="C21" s="27">
        <f>ROUND((561364/364914)*198,2)</f>
        <v>304.58999999999997</v>
      </c>
    </row>
    <row r="22" spans="1:6" ht="32.25" thickBot="1">
      <c r="A22" s="21" t="s">
        <v>77</v>
      </c>
      <c r="B22" s="65" t="s">
        <v>295</v>
      </c>
      <c r="C22" s="27">
        <f>ROUND((627676/364914)*198,2)</f>
        <v>340.57</v>
      </c>
    </row>
    <row r="23" spans="1:6" ht="32.25" thickBot="1">
      <c r="A23" s="21" t="s">
        <v>133</v>
      </c>
      <c r="B23" s="65" t="s">
        <v>304</v>
      </c>
      <c r="C23" s="27">
        <f>ROUND((286606/364914)*198,2)</f>
        <v>155.51</v>
      </c>
    </row>
    <row r="24" spans="1:6" ht="33.75" customHeight="1" thickBot="1">
      <c r="A24" s="21" t="s">
        <v>131</v>
      </c>
      <c r="B24" s="24" t="s">
        <v>297</v>
      </c>
      <c r="C24" s="27">
        <f>ROUND((157571/364914)*198,2)</f>
        <v>85.5</v>
      </c>
    </row>
    <row r="25" spans="1:6" ht="32.25" thickBot="1">
      <c r="A25" s="21" t="s">
        <v>86</v>
      </c>
      <c r="B25" s="24" t="s">
        <v>313</v>
      </c>
      <c r="C25" s="27">
        <f>ROUND((46423/364914)*198,2)</f>
        <v>25.19</v>
      </c>
    </row>
    <row r="26" spans="1:6" ht="32.25" thickBot="1">
      <c r="A26" s="21" t="s">
        <v>82</v>
      </c>
      <c r="B26" s="65" t="s">
        <v>354</v>
      </c>
      <c r="C26" s="27">
        <f>ROUND((42368/364914)*198,2)</f>
        <v>22.99</v>
      </c>
    </row>
    <row r="27" spans="1:6" ht="16.5" thickBot="1">
      <c r="A27" s="21" t="s">
        <v>155</v>
      </c>
      <c r="B27" s="24" t="s">
        <v>145</v>
      </c>
      <c r="C27" s="27">
        <f>ROUND(0.5*198,2)</f>
        <v>99</v>
      </c>
      <c r="F27" s="9"/>
    </row>
    <row r="28" spans="1:6" ht="16.5" thickBot="1">
      <c r="A28" s="21"/>
      <c r="B28" s="22" t="s">
        <v>66</v>
      </c>
      <c r="C28" s="26">
        <f>SUM(C16:C27)</f>
        <v>2513.9299999999998</v>
      </c>
    </row>
    <row r="29" spans="1:6" ht="16.5" thickBot="1">
      <c r="A29" s="21"/>
      <c r="B29" s="31" t="s">
        <v>67</v>
      </c>
      <c r="C29" s="26">
        <f>C28+C14</f>
        <v>6843.0300000000007</v>
      </c>
    </row>
    <row r="30" spans="1:6">
      <c r="C30" s="9"/>
    </row>
    <row r="31" spans="1:6" ht="16.5" thickBot="1">
      <c r="C31" s="9"/>
    </row>
    <row r="32" spans="1:6" ht="16.5" thickBot="1">
      <c r="A32" s="130" t="s">
        <v>68</v>
      </c>
      <c r="B32" s="131"/>
      <c r="C32" s="32">
        <v>198</v>
      </c>
    </row>
    <row r="33" spans="1:3" ht="16.5" thickBot="1">
      <c r="A33" s="130" t="s">
        <v>69</v>
      </c>
      <c r="B33" s="131"/>
      <c r="C33" s="33">
        <f>ROUND(C29/C32,2)</f>
        <v>34.56</v>
      </c>
    </row>
  </sheetData>
  <mergeCells count="7">
    <mergeCell ref="A33:B33"/>
    <mergeCell ref="A1:C1"/>
    <mergeCell ref="A3:C3"/>
    <mergeCell ref="A4:C4"/>
    <mergeCell ref="A5:C5"/>
    <mergeCell ref="A6:B6"/>
    <mergeCell ref="A32:B32"/>
  </mergeCells>
  <pageMargins left="0.70866141732283472" right="0.70866141732283472" top="0.74803149606299213" bottom="0.74803149606299213"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1" tint="0.34998626667073579"/>
  </sheetPr>
  <dimension ref="A1:F35"/>
  <sheetViews>
    <sheetView zoomScale="80" zoomScaleNormal="80" workbookViewId="0">
      <selection activeCell="C36" sqref="C36"/>
    </sheetView>
  </sheetViews>
  <sheetFormatPr defaultColWidth="8.85546875" defaultRowHeight="15.75"/>
  <cols>
    <col min="1" max="1" width="15.28515625" style="1" customWidth="1"/>
    <col min="2" max="2" width="92.5703125" style="1" customWidth="1"/>
    <col min="3" max="3" width="19.85546875" style="1" customWidth="1"/>
    <col min="4" max="16384" width="8.85546875" style="1"/>
  </cols>
  <sheetData>
    <row r="1" spans="1:4">
      <c r="A1" s="121" t="s">
        <v>58</v>
      </c>
      <c r="B1" s="121"/>
      <c r="C1" s="121"/>
      <c r="D1" s="18"/>
    </row>
    <row r="3" spans="1:4">
      <c r="A3" s="134" t="s">
        <v>70</v>
      </c>
      <c r="B3" s="134"/>
      <c r="C3" s="134"/>
    </row>
    <row r="4" spans="1:4">
      <c r="A4" s="134" t="s">
        <v>168</v>
      </c>
      <c r="B4" s="134"/>
      <c r="C4" s="134"/>
    </row>
    <row r="5" spans="1:4">
      <c r="A5" s="134" t="s">
        <v>59</v>
      </c>
      <c r="B5" s="134"/>
      <c r="C5" s="134"/>
    </row>
    <row r="6" spans="1:4" ht="16.5" thickBot="1">
      <c r="A6" s="135" t="s">
        <v>115</v>
      </c>
      <c r="B6" s="135"/>
    </row>
    <row r="7" spans="1:4" ht="83.25" customHeight="1" thickBot="1">
      <c r="A7" s="19" t="s">
        <v>60</v>
      </c>
      <c r="B7" s="20" t="s">
        <v>61</v>
      </c>
      <c r="C7" s="20" t="s">
        <v>62</v>
      </c>
    </row>
    <row r="8" spans="1:4" ht="16.5" thickBot="1">
      <c r="A8" s="35"/>
      <c r="B8" s="36" t="s">
        <v>63</v>
      </c>
      <c r="C8" s="37"/>
      <c r="D8" s="95"/>
    </row>
    <row r="9" spans="1:4">
      <c r="A9" s="38" t="s">
        <v>74</v>
      </c>
      <c r="B9" s="39" t="s">
        <v>299</v>
      </c>
      <c r="C9" s="43">
        <f>ROUND(10.87*294,2)</f>
        <v>3195.78</v>
      </c>
      <c r="D9" s="95"/>
    </row>
    <row r="10" spans="1:4" ht="32.25" thickBot="1">
      <c r="A10" s="21" t="s">
        <v>75</v>
      </c>
      <c r="B10" s="65" t="s">
        <v>73</v>
      </c>
      <c r="C10" s="46">
        <f>ROUND(C9*0.2409,2)</f>
        <v>769.86</v>
      </c>
    </row>
    <row r="11" spans="1:4" ht="32.25" thickBot="1">
      <c r="A11" s="21" t="s">
        <v>76</v>
      </c>
      <c r="B11" s="24" t="s">
        <v>284</v>
      </c>
      <c r="C11" s="27">
        <f>ROUND((367899/364914)*294,2)</f>
        <v>296.39999999999998</v>
      </c>
    </row>
    <row r="12" spans="1:4" ht="32.25" thickBot="1">
      <c r="A12" s="21" t="s">
        <v>81</v>
      </c>
      <c r="B12" s="24" t="s">
        <v>286</v>
      </c>
      <c r="C12" s="27">
        <f>ROUND((624380/438912)*294,2)</f>
        <v>418.23</v>
      </c>
    </row>
    <row r="13" spans="1:4" ht="32.25" thickBot="1">
      <c r="A13" s="21" t="s">
        <v>154</v>
      </c>
      <c r="B13" s="24" t="s">
        <v>287</v>
      </c>
      <c r="C13" s="27">
        <f>ROUND((500471/364914)*294,2)</f>
        <v>403.21</v>
      </c>
    </row>
    <row r="14" spans="1:4" ht="32.25" thickBot="1">
      <c r="A14" s="21" t="s">
        <v>80</v>
      </c>
      <c r="B14" s="24" t="s">
        <v>341</v>
      </c>
      <c r="C14" s="46">
        <f>ROUND((15/100)*34*1.06*294,2)</f>
        <v>1589.36</v>
      </c>
    </row>
    <row r="15" spans="1:4" ht="16.5" thickBot="1">
      <c r="A15" s="21"/>
      <c r="B15" s="25" t="s">
        <v>64</v>
      </c>
      <c r="C15" s="26">
        <f>SUM(C9:C14)</f>
        <v>6672.84</v>
      </c>
    </row>
    <row r="16" spans="1:4" ht="16.5" thickBot="1">
      <c r="A16" s="21"/>
      <c r="B16" s="25" t="s">
        <v>65</v>
      </c>
      <c r="C16" s="27"/>
    </row>
    <row r="17" spans="1:6" ht="32.25" thickBot="1">
      <c r="A17" s="21" t="s">
        <v>83</v>
      </c>
      <c r="B17" s="28" t="s">
        <v>148</v>
      </c>
      <c r="C17" s="27">
        <f>ROUND(C9*0.1,2)</f>
        <v>319.58</v>
      </c>
    </row>
    <row r="18" spans="1:6" ht="32.25" thickBot="1">
      <c r="A18" s="21" t="s">
        <v>75</v>
      </c>
      <c r="B18" s="65" t="s">
        <v>73</v>
      </c>
      <c r="C18" s="27">
        <f>ROUND(C17*0.2409,2)</f>
        <v>76.989999999999995</v>
      </c>
    </row>
    <row r="19" spans="1:6" ht="32.25" thickBot="1">
      <c r="A19" s="21" t="s">
        <v>87</v>
      </c>
      <c r="B19" s="23" t="s">
        <v>292</v>
      </c>
      <c r="C19" s="27">
        <f>ROUND(0.11*294,2)</f>
        <v>32.340000000000003</v>
      </c>
      <c r="D19" s="30"/>
    </row>
    <row r="20" spans="1:6" ht="32.25" thickBot="1">
      <c r="A20" s="21" t="s">
        <v>84</v>
      </c>
      <c r="B20" s="24" t="s">
        <v>293</v>
      </c>
      <c r="C20" s="27">
        <f>ROUND((813902/364914)*294,2)</f>
        <v>655.74</v>
      </c>
    </row>
    <row r="21" spans="1:6" ht="32.25" thickBot="1">
      <c r="A21" s="21" t="s">
        <v>85</v>
      </c>
      <c r="B21" s="67" t="s">
        <v>294</v>
      </c>
      <c r="C21" s="27">
        <f>ROUND((234731/364914)*294,2)</f>
        <v>189.12</v>
      </c>
    </row>
    <row r="22" spans="1:6" ht="32.25" thickBot="1">
      <c r="A22" s="21" t="s">
        <v>81</v>
      </c>
      <c r="B22" s="29" t="s">
        <v>303</v>
      </c>
      <c r="C22" s="27">
        <f>ROUND((561364/364914)*294,2)</f>
        <v>452.27</v>
      </c>
    </row>
    <row r="23" spans="1:6" ht="32.25" thickBot="1">
      <c r="A23" s="21" t="s">
        <v>77</v>
      </c>
      <c r="B23" s="65" t="s">
        <v>295</v>
      </c>
      <c r="C23" s="27">
        <f>ROUND((627676/364914)*294,2)</f>
        <v>505.7</v>
      </c>
    </row>
    <row r="24" spans="1:6" ht="32.25" thickBot="1">
      <c r="A24" s="21" t="s">
        <v>133</v>
      </c>
      <c r="B24" s="65" t="s">
        <v>304</v>
      </c>
      <c r="C24" s="27">
        <f>ROUND((286606/364914)*294,2)</f>
        <v>230.91</v>
      </c>
    </row>
    <row r="25" spans="1:6" ht="32.25" thickBot="1">
      <c r="A25" s="21" t="s">
        <v>131</v>
      </c>
      <c r="B25" s="24" t="s">
        <v>342</v>
      </c>
      <c r="C25" s="27">
        <f>ROUND((157571/364914)*294,2)</f>
        <v>126.95</v>
      </c>
    </row>
    <row r="26" spans="1:6" ht="32.25" thickBot="1">
      <c r="A26" s="21" t="s">
        <v>86</v>
      </c>
      <c r="B26" s="24" t="s">
        <v>298</v>
      </c>
      <c r="C26" s="27">
        <f>ROUND((46423/364914)*294,2)</f>
        <v>37.4</v>
      </c>
    </row>
    <row r="27" spans="1:6" ht="32.25" thickBot="1">
      <c r="A27" s="21" t="s">
        <v>82</v>
      </c>
      <c r="B27" s="65" t="s">
        <v>354</v>
      </c>
      <c r="C27" s="27">
        <f>ROUND((42368/364914)*294,2)</f>
        <v>34.130000000000003</v>
      </c>
    </row>
    <row r="28" spans="1:6" ht="48" thickBot="1">
      <c r="A28" s="21" t="s">
        <v>155</v>
      </c>
      <c r="B28" s="65" t="s">
        <v>363</v>
      </c>
      <c r="C28" s="27">
        <f>ROUND(1.12*294+4.14*294,2)</f>
        <v>1546.44</v>
      </c>
      <c r="F28" s="9"/>
    </row>
    <row r="29" spans="1:6" ht="16.5" thickBot="1">
      <c r="A29" s="21"/>
      <c r="B29" s="22" t="s">
        <v>66</v>
      </c>
      <c r="C29" s="26">
        <f>SUM(C17:C28)</f>
        <v>4207.57</v>
      </c>
    </row>
    <row r="30" spans="1:6" ht="16.5" thickBot="1">
      <c r="A30" s="21"/>
      <c r="B30" s="31" t="s">
        <v>67</v>
      </c>
      <c r="C30" s="26">
        <f>C29+C15</f>
        <v>10880.41</v>
      </c>
    </row>
    <row r="31" spans="1:6">
      <c r="C31" s="9"/>
    </row>
    <row r="32" spans="1:6" ht="16.5" thickBot="1">
      <c r="C32" s="9"/>
    </row>
    <row r="33" spans="1:3" ht="16.5" thickBot="1">
      <c r="A33" s="130" t="s">
        <v>68</v>
      </c>
      <c r="B33" s="131"/>
      <c r="C33" s="32">
        <v>294</v>
      </c>
    </row>
    <row r="34" spans="1:3" ht="16.5" thickBot="1">
      <c r="A34" s="130" t="s">
        <v>69</v>
      </c>
      <c r="B34" s="131"/>
      <c r="C34" s="33">
        <f>ROUND(C30/C33,2)</f>
        <v>37.01</v>
      </c>
    </row>
    <row r="35" spans="1:3" ht="16.5" customHeight="1"/>
  </sheetData>
  <mergeCells count="7">
    <mergeCell ref="A34:B34"/>
    <mergeCell ref="A1:C1"/>
    <mergeCell ref="A3:C3"/>
    <mergeCell ref="A4:C4"/>
    <mergeCell ref="A5:C5"/>
    <mergeCell ref="A6:B6"/>
    <mergeCell ref="A33:B33"/>
  </mergeCells>
  <pageMargins left="0.70866141732283472" right="0.70866141732283472" top="0.74803149606299213" bottom="0.74803149606299213"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3"/>
  </sheetPr>
  <dimension ref="A1:E27"/>
  <sheetViews>
    <sheetView zoomScale="80" zoomScaleNormal="80" workbookViewId="0">
      <selection activeCell="C25" sqref="C25"/>
    </sheetView>
  </sheetViews>
  <sheetFormatPr defaultColWidth="8.85546875" defaultRowHeight="15.75"/>
  <cols>
    <col min="1" max="1" width="14.42578125" style="1" customWidth="1"/>
    <col min="2" max="2" width="99.5703125" style="1" customWidth="1"/>
    <col min="3" max="3" width="19.85546875" style="1" customWidth="1"/>
    <col min="4" max="16384" width="8.85546875" style="1"/>
  </cols>
  <sheetData>
    <row r="1" spans="1:3">
      <c r="A1" s="121" t="s">
        <v>58</v>
      </c>
      <c r="B1" s="121"/>
      <c r="C1" s="121"/>
    </row>
    <row r="3" spans="1:3">
      <c r="A3" s="134" t="s">
        <v>70</v>
      </c>
      <c r="B3" s="134"/>
      <c r="C3" s="134"/>
    </row>
    <row r="4" spans="1:3">
      <c r="A4" s="134" t="s">
        <v>169</v>
      </c>
      <c r="B4" s="134"/>
      <c r="C4" s="134"/>
    </row>
    <row r="5" spans="1:3">
      <c r="A5" s="134" t="s">
        <v>59</v>
      </c>
      <c r="B5" s="134"/>
      <c r="C5" s="134"/>
    </row>
    <row r="6" spans="1:3" ht="16.5" thickBot="1">
      <c r="A6" s="135" t="s">
        <v>130</v>
      </c>
      <c r="B6" s="135"/>
    </row>
    <row r="7" spans="1:3" ht="85.5" customHeight="1" thickBot="1">
      <c r="A7" s="19" t="s">
        <v>60</v>
      </c>
      <c r="B7" s="20" t="s">
        <v>61</v>
      </c>
      <c r="C7" s="20" t="s">
        <v>62</v>
      </c>
    </row>
    <row r="8" spans="1:3" ht="16.5" thickBot="1">
      <c r="A8" s="35"/>
      <c r="B8" s="36" t="s">
        <v>63</v>
      </c>
      <c r="C8" s="37"/>
    </row>
    <row r="9" spans="1:3">
      <c r="A9" s="38" t="s">
        <v>74</v>
      </c>
      <c r="B9" s="39" t="s">
        <v>110</v>
      </c>
      <c r="C9" s="43">
        <f>ROUND(25.04*10,2)</f>
        <v>250.4</v>
      </c>
    </row>
    <row r="10" spans="1:3" ht="35.25" customHeight="1" thickBot="1">
      <c r="A10" s="21" t="s">
        <v>75</v>
      </c>
      <c r="B10" s="65" t="s">
        <v>73</v>
      </c>
      <c r="C10" s="27">
        <f>ROUND(C9*0.2409,2)</f>
        <v>60.32</v>
      </c>
    </row>
    <row r="11" spans="1:3" ht="16.5" thickBot="1">
      <c r="A11" s="21"/>
      <c r="B11" s="25" t="s">
        <v>64</v>
      </c>
      <c r="C11" s="26">
        <f>SUM(C9:C10)</f>
        <v>310.72000000000003</v>
      </c>
    </row>
    <row r="12" spans="1:3" ht="16.5" thickBot="1">
      <c r="A12" s="21"/>
      <c r="B12" s="25" t="s">
        <v>65</v>
      </c>
      <c r="C12" s="27"/>
    </row>
    <row r="13" spans="1:3" ht="32.25" thickBot="1">
      <c r="A13" s="21" t="s">
        <v>87</v>
      </c>
      <c r="B13" s="23" t="s">
        <v>292</v>
      </c>
      <c r="C13" s="27">
        <f>ROUND((39708/364914)*10,2)</f>
        <v>1.0900000000000001</v>
      </c>
    </row>
    <row r="14" spans="1:3" ht="32.25" thickBot="1">
      <c r="A14" s="21" t="s">
        <v>85</v>
      </c>
      <c r="B14" s="67" t="s">
        <v>294</v>
      </c>
      <c r="C14" s="27">
        <f>ROUND((234731/364914)*10,2)</f>
        <v>6.43</v>
      </c>
    </row>
    <row r="15" spans="1:3" ht="32.25" thickBot="1">
      <c r="A15" s="21" t="s">
        <v>86</v>
      </c>
      <c r="B15" s="24" t="s">
        <v>298</v>
      </c>
      <c r="C15" s="27">
        <f>ROUND((46423/364914)*10,2)</f>
        <v>1.27</v>
      </c>
    </row>
    <row r="16" spans="1:3" ht="32.25" thickBot="1">
      <c r="A16" s="21" t="s">
        <v>82</v>
      </c>
      <c r="B16" s="65" t="s">
        <v>354</v>
      </c>
      <c r="C16" s="27">
        <f>ROUND((42368/36914)*10,2)</f>
        <v>11.48</v>
      </c>
    </row>
    <row r="17" spans="1:5" ht="16.5" thickBot="1">
      <c r="A17" s="21" t="s">
        <v>155</v>
      </c>
      <c r="B17" s="65" t="s">
        <v>145</v>
      </c>
      <c r="C17" s="27">
        <f>ROUND(0.5*10,2)</f>
        <v>5</v>
      </c>
      <c r="E17" s="9"/>
    </row>
    <row r="18" spans="1:5" ht="16.5" thickBot="1">
      <c r="A18" s="21"/>
      <c r="B18" s="22" t="s">
        <v>66</v>
      </c>
      <c r="C18" s="26">
        <f>SUM(C13:C17)</f>
        <v>25.27</v>
      </c>
    </row>
    <row r="19" spans="1:5" ht="16.5" thickBot="1">
      <c r="A19" s="21"/>
      <c r="B19" s="31" t="s">
        <v>67</v>
      </c>
      <c r="C19" s="26">
        <f>C18+C11</f>
        <v>335.99</v>
      </c>
    </row>
    <row r="20" spans="1:5">
      <c r="C20" s="9"/>
    </row>
    <row r="21" spans="1:5" ht="16.5" thickBot="1">
      <c r="C21" s="9"/>
    </row>
    <row r="22" spans="1:5" ht="16.5" thickBot="1">
      <c r="A22" s="130" t="s">
        <v>68</v>
      </c>
      <c r="B22" s="131"/>
      <c r="C22" s="32">
        <v>10</v>
      </c>
    </row>
    <row r="23" spans="1:5" ht="16.5" thickBot="1">
      <c r="A23" s="130" t="s">
        <v>69</v>
      </c>
      <c r="B23" s="131"/>
      <c r="C23" s="33">
        <f>ROUND(C19/C22,2)</f>
        <v>33.6</v>
      </c>
    </row>
    <row r="25" spans="1:5">
      <c r="A25" s="13"/>
      <c r="B25" s="13"/>
      <c r="C25" s="45"/>
      <c r="D25" s="13"/>
    </row>
    <row r="26" spans="1:5">
      <c r="A26" s="132"/>
      <c r="B26" s="132"/>
      <c r="C26" s="13"/>
      <c r="D26" s="13"/>
    </row>
    <row r="27" spans="1:5" ht="18.75">
      <c r="A27" s="133"/>
      <c r="B27" s="133"/>
      <c r="C27" s="34"/>
      <c r="D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6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2" tint="-0.499984740745262"/>
  </sheetPr>
  <dimension ref="A1:F23"/>
  <sheetViews>
    <sheetView zoomScale="80" zoomScaleNormal="80" workbookViewId="0">
      <selection activeCell="C25" sqref="C25"/>
    </sheetView>
  </sheetViews>
  <sheetFormatPr defaultColWidth="8.85546875" defaultRowHeight="15.75"/>
  <cols>
    <col min="1" max="1" width="14.28515625" style="1" customWidth="1"/>
    <col min="2" max="2" width="102.140625" style="1" customWidth="1"/>
    <col min="3" max="3" width="19.85546875" style="1" customWidth="1"/>
    <col min="4" max="16384" width="8.85546875" style="1"/>
  </cols>
  <sheetData>
    <row r="1" spans="1:4">
      <c r="A1" s="121" t="s">
        <v>58</v>
      </c>
      <c r="B1" s="121"/>
      <c r="C1" s="121"/>
      <c r="D1" s="18"/>
    </row>
    <row r="3" spans="1:4">
      <c r="A3" s="134" t="s">
        <v>70</v>
      </c>
      <c r="B3" s="134"/>
      <c r="C3" s="134"/>
    </row>
    <row r="4" spans="1:4">
      <c r="A4" s="134" t="s">
        <v>170</v>
      </c>
      <c r="B4" s="134"/>
      <c r="C4" s="134"/>
    </row>
    <row r="5" spans="1:4">
      <c r="A5" s="134" t="s">
        <v>59</v>
      </c>
      <c r="B5" s="134"/>
      <c r="C5" s="134"/>
    </row>
    <row r="6" spans="1:4" ht="16.5" thickBot="1">
      <c r="A6" s="135" t="s">
        <v>130</v>
      </c>
      <c r="B6" s="135"/>
    </row>
    <row r="7" spans="1:4" ht="96" customHeight="1" thickBot="1">
      <c r="A7" s="19" t="s">
        <v>60</v>
      </c>
      <c r="B7" s="20" t="s">
        <v>61</v>
      </c>
      <c r="C7" s="20" t="s">
        <v>62</v>
      </c>
    </row>
    <row r="8" spans="1:4" ht="16.5" thickBot="1">
      <c r="A8" s="35"/>
      <c r="B8" s="36" t="s">
        <v>63</v>
      </c>
      <c r="C8" s="37"/>
      <c r="D8" s="95"/>
    </row>
    <row r="9" spans="1:4">
      <c r="A9" s="38" t="s">
        <v>74</v>
      </c>
      <c r="B9" s="39" t="s">
        <v>112</v>
      </c>
      <c r="C9" s="43">
        <f>ROUND(23.86*10,2)</f>
        <v>238.6</v>
      </c>
      <c r="D9" s="94"/>
    </row>
    <row r="10" spans="1:4" ht="23.25" customHeight="1" thickBot="1">
      <c r="A10" s="21" t="s">
        <v>75</v>
      </c>
      <c r="B10" s="65" t="s">
        <v>73</v>
      </c>
      <c r="C10" s="27">
        <f>ROUND(C9*0.2409,2)</f>
        <v>57.48</v>
      </c>
    </row>
    <row r="11" spans="1:4" ht="16.5" thickBot="1">
      <c r="A11" s="21"/>
      <c r="B11" s="25" t="s">
        <v>64</v>
      </c>
      <c r="C11" s="26">
        <f>SUM(C9:C10)</f>
        <v>296.08</v>
      </c>
    </row>
    <row r="12" spans="1:4" ht="16.5" thickBot="1">
      <c r="A12" s="21"/>
      <c r="B12" s="25" t="s">
        <v>65</v>
      </c>
      <c r="C12" s="27"/>
    </row>
    <row r="13" spans="1:4" ht="32.25" thickBot="1">
      <c r="A13" s="21" t="s">
        <v>87</v>
      </c>
      <c r="B13" s="23" t="s">
        <v>292</v>
      </c>
      <c r="C13" s="27">
        <f>ROUND((39708/364914)*10,2)</f>
        <v>1.0900000000000001</v>
      </c>
      <c r="D13" s="30"/>
    </row>
    <row r="14" spans="1:4" ht="32.25" thickBot="1">
      <c r="A14" s="21" t="s">
        <v>85</v>
      </c>
      <c r="B14" s="67" t="s">
        <v>294</v>
      </c>
      <c r="C14" s="27">
        <f>ROUND((234731/364914)*10,2)</f>
        <v>6.43</v>
      </c>
    </row>
    <row r="15" spans="1:4" ht="32.25" thickBot="1">
      <c r="A15" s="21" t="s">
        <v>86</v>
      </c>
      <c r="B15" s="24" t="s">
        <v>298</v>
      </c>
      <c r="C15" s="27">
        <f>ROUND((46423/364914)*10,2)</f>
        <v>1.27</v>
      </c>
    </row>
    <row r="16" spans="1:4" ht="32.25" thickBot="1">
      <c r="A16" s="21" t="s">
        <v>82</v>
      </c>
      <c r="B16" s="65" t="s">
        <v>354</v>
      </c>
      <c r="C16" s="27">
        <f>ROUND((42368/364914)*10,2)</f>
        <v>1.1599999999999999</v>
      </c>
    </row>
    <row r="17" spans="1:6" ht="16.5" thickBot="1">
      <c r="A17" s="21" t="s">
        <v>155</v>
      </c>
      <c r="B17" s="24" t="s">
        <v>145</v>
      </c>
      <c r="C17" s="27">
        <f>ROUND(0.5*10,2)</f>
        <v>5</v>
      </c>
      <c r="F17" s="9"/>
    </row>
    <row r="18" spans="1:6" ht="16.5" thickBot="1">
      <c r="A18" s="21"/>
      <c r="B18" s="22" t="s">
        <v>66</v>
      </c>
      <c r="C18" s="26">
        <f>SUM(C13:C17)</f>
        <v>14.95</v>
      </c>
    </row>
    <row r="19" spans="1:6" ht="16.5" thickBot="1">
      <c r="A19" s="21"/>
      <c r="B19" s="31" t="s">
        <v>67</v>
      </c>
      <c r="C19" s="26">
        <f>C18+C11</f>
        <v>311.02999999999997</v>
      </c>
    </row>
    <row r="20" spans="1:6">
      <c r="C20" s="9"/>
    </row>
    <row r="21" spans="1:6" ht="16.5" thickBot="1">
      <c r="C21" s="9"/>
    </row>
    <row r="22" spans="1:6" ht="16.5" thickBot="1">
      <c r="A22" s="130" t="s">
        <v>68</v>
      </c>
      <c r="B22" s="131"/>
      <c r="C22" s="32">
        <v>10</v>
      </c>
    </row>
    <row r="23" spans="1:6" ht="16.5" thickBot="1">
      <c r="A23" s="130" t="s">
        <v>69</v>
      </c>
      <c r="B23" s="131"/>
      <c r="C23" s="33">
        <f>ROUND(C19/C22,2)</f>
        <v>31.1</v>
      </c>
    </row>
  </sheetData>
  <mergeCells count="7">
    <mergeCell ref="A23:B23"/>
    <mergeCell ref="A1:C1"/>
    <mergeCell ref="A3:C3"/>
    <mergeCell ref="A4:C4"/>
    <mergeCell ref="A5:C5"/>
    <mergeCell ref="A6:B6"/>
    <mergeCell ref="A22:B22"/>
  </mergeCells>
  <pageMargins left="0.70866141732283472" right="0.70866141732283472" top="0.74803149606299213" bottom="0.74803149606299213" header="0.31496062992125984" footer="0.31496062992125984"/>
  <pageSetup paperSize="9"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2" tint="-0.499984740745262"/>
  </sheetPr>
  <dimension ref="A1:F23"/>
  <sheetViews>
    <sheetView zoomScale="80" zoomScaleNormal="80" workbookViewId="0">
      <selection activeCell="C25" sqref="C25"/>
    </sheetView>
  </sheetViews>
  <sheetFormatPr defaultColWidth="8.85546875" defaultRowHeight="15.75"/>
  <cols>
    <col min="1" max="1" width="15.28515625" style="1" customWidth="1"/>
    <col min="2" max="2" width="114.28515625" style="1" customWidth="1"/>
    <col min="3" max="3" width="19.85546875" style="1" customWidth="1"/>
    <col min="4" max="4" width="6.5703125" style="1" customWidth="1"/>
    <col min="5" max="16384" width="8.85546875" style="1"/>
  </cols>
  <sheetData>
    <row r="1" spans="1:4">
      <c r="A1" s="121" t="s">
        <v>58</v>
      </c>
      <c r="B1" s="121"/>
      <c r="C1" s="121"/>
      <c r="D1" s="18"/>
    </row>
    <row r="3" spans="1:4">
      <c r="A3" s="134" t="s">
        <v>70</v>
      </c>
      <c r="B3" s="134"/>
      <c r="C3" s="134"/>
    </row>
    <row r="4" spans="1:4">
      <c r="A4" s="134" t="s">
        <v>171</v>
      </c>
      <c r="B4" s="134"/>
      <c r="C4" s="134"/>
    </row>
    <row r="5" spans="1:4">
      <c r="A5" s="134" t="s">
        <v>59</v>
      </c>
      <c r="B5" s="134"/>
      <c r="C5" s="134"/>
    </row>
    <row r="6" spans="1:4" ht="16.5" thickBot="1">
      <c r="A6" s="135" t="s">
        <v>117</v>
      </c>
      <c r="B6" s="135"/>
    </row>
    <row r="7" spans="1:4" ht="93" customHeight="1" thickBot="1">
      <c r="A7" s="19" t="s">
        <v>60</v>
      </c>
      <c r="B7" s="20" t="s">
        <v>61</v>
      </c>
      <c r="C7" s="20" t="s">
        <v>62</v>
      </c>
    </row>
    <row r="8" spans="1:4" ht="16.5" thickBot="1">
      <c r="A8" s="35"/>
      <c r="B8" s="36" t="s">
        <v>63</v>
      </c>
      <c r="C8" s="37"/>
      <c r="D8" s="15"/>
    </row>
    <row r="9" spans="1:4">
      <c r="A9" s="38" t="s">
        <v>74</v>
      </c>
      <c r="B9" s="39" t="s">
        <v>300</v>
      </c>
      <c r="C9" s="43">
        <f>ROUND(14.49*80,2)</f>
        <v>1159.2</v>
      </c>
      <c r="D9" s="94"/>
    </row>
    <row r="10" spans="1:4" ht="16.5" thickBot="1">
      <c r="A10" s="21" t="s">
        <v>75</v>
      </c>
      <c r="B10" s="24" t="s">
        <v>73</v>
      </c>
      <c r="C10" s="27">
        <f>ROUND(C9*0.2409,2)</f>
        <v>279.25</v>
      </c>
    </row>
    <row r="11" spans="1:4" ht="16.5" thickBot="1">
      <c r="A11" s="21"/>
      <c r="B11" s="25" t="s">
        <v>64</v>
      </c>
      <c r="C11" s="26">
        <f>SUM(C9:C10)</f>
        <v>1438.45</v>
      </c>
    </row>
    <row r="12" spans="1:4" ht="16.5" thickBot="1">
      <c r="A12" s="21"/>
      <c r="B12" s="25" t="s">
        <v>65</v>
      </c>
      <c r="C12" s="27"/>
    </row>
    <row r="13" spans="1:4" ht="32.25" thickBot="1">
      <c r="A13" s="21" t="s">
        <v>87</v>
      </c>
      <c r="B13" s="23" t="s">
        <v>292</v>
      </c>
      <c r="C13" s="27">
        <f>ROUND((39708/364914)*80,2)</f>
        <v>8.7100000000000009</v>
      </c>
      <c r="D13" s="30"/>
    </row>
    <row r="14" spans="1:4" ht="32.25" thickBot="1">
      <c r="A14" s="21" t="s">
        <v>85</v>
      </c>
      <c r="B14" s="67" t="s">
        <v>302</v>
      </c>
      <c r="C14" s="27">
        <f>ROUND((234731/364914)*80,2)</f>
        <v>51.46</v>
      </c>
    </row>
    <row r="15" spans="1:4" ht="32.25" thickBot="1">
      <c r="A15" s="21" t="s">
        <v>86</v>
      </c>
      <c r="B15" s="24" t="s">
        <v>298</v>
      </c>
      <c r="C15" s="27">
        <f>ROUND((46423/364914)*80,2)</f>
        <v>10.18</v>
      </c>
    </row>
    <row r="16" spans="1:4" ht="32.25" thickBot="1">
      <c r="A16" s="21" t="s">
        <v>82</v>
      </c>
      <c r="B16" s="65" t="s">
        <v>354</v>
      </c>
      <c r="C16" s="27">
        <f>ROUND((42368/364914)*80,2)</f>
        <v>9.2899999999999991</v>
      </c>
    </row>
    <row r="17" spans="1:6" ht="16.5" thickBot="1">
      <c r="A17" s="21" t="s">
        <v>155</v>
      </c>
      <c r="B17" s="24" t="s">
        <v>145</v>
      </c>
      <c r="C17" s="27">
        <f>0.5*80</f>
        <v>40</v>
      </c>
      <c r="F17" s="9"/>
    </row>
    <row r="18" spans="1:6" ht="16.5" thickBot="1">
      <c r="A18" s="21"/>
      <c r="B18" s="22" t="s">
        <v>66</v>
      </c>
      <c r="C18" s="26">
        <f>SUM(C13:C17)</f>
        <v>119.63999999999999</v>
      </c>
    </row>
    <row r="19" spans="1:6" ht="16.5" thickBot="1">
      <c r="A19" s="21"/>
      <c r="B19" s="31" t="s">
        <v>67</v>
      </c>
      <c r="C19" s="26">
        <f>C18+C11</f>
        <v>1558.0900000000001</v>
      </c>
    </row>
    <row r="20" spans="1:6">
      <c r="C20" s="9"/>
    </row>
    <row r="21" spans="1:6" ht="16.5" thickBot="1">
      <c r="C21" s="9"/>
    </row>
    <row r="22" spans="1:6" ht="16.5" thickBot="1">
      <c r="A22" s="130" t="s">
        <v>68</v>
      </c>
      <c r="B22" s="131"/>
      <c r="C22" s="32">
        <v>80</v>
      </c>
    </row>
    <row r="23" spans="1:6" ht="16.5" thickBot="1">
      <c r="A23" s="130" t="s">
        <v>69</v>
      </c>
      <c r="B23" s="131"/>
      <c r="C23" s="33">
        <f>ROUND(C19/C22,2)</f>
        <v>19.48</v>
      </c>
    </row>
  </sheetData>
  <mergeCells count="7">
    <mergeCell ref="A23:B23"/>
    <mergeCell ref="A1:C1"/>
    <mergeCell ref="A3:C3"/>
    <mergeCell ref="A4:C4"/>
    <mergeCell ref="A5:C5"/>
    <mergeCell ref="A6:B6"/>
    <mergeCell ref="A22:B22"/>
  </mergeCells>
  <pageMargins left="0.70866141732283472" right="0.70866141732283472" top="0.74803149606299213" bottom="0.74803149606299213" header="0.31496062992125984" footer="0.31496062992125984"/>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2" tint="-0.499984740745262"/>
  </sheetPr>
  <dimension ref="A1:F26"/>
  <sheetViews>
    <sheetView zoomScale="80" zoomScaleNormal="80" workbookViewId="0">
      <selection activeCell="C24" sqref="C24"/>
    </sheetView>
  </sheetViews>
  <sheetFormatPr defaultColWidth="8.85546875" defaultRowHeight="15.75"/>
  <cols>
    <col min="1" max="1" width="15.28515625" style="1" customWidth="1"/>
    <col min="2" max="2" width="87.28515625" style="1" customWidth="1"/>
    <col min="3" max="3" width="19.85546875" style="1" customWidth="1"/>
    <col min="4" max="4" width="10.85546875" style="1" customWidth="1"/>
    <col min="5" max="16384" width="8.85546875" style="1"/>
  </cols>
  <sheetData>
    <row r="1" spans="1:5">
      <c r="A1" s="121" t="s">
        <v>58</v>
      </c>
      <c r="B1" s="121"/>
      <c r="C1" s="121"/>
      <c r="D1" s="18"/>
      <c r="E1" s="18"/>
    </row>
    <row r="3" spans="1:5">
      <c r="A3" s="134" t="s">
        <v>70</v>
      </c>
      <c r="B3" s="134"/>
      <c r="C3" s="134"/>
    </row>
    <row r="4" spans="1:5">
      <c r="A4" s="134" t="s">
        <v>172</v>
      </c>
      <c r="B4" s="134"/>
      <c r="C4" s="134"/>
    </row>
    <row r="5" spans="1:5">
      <c r="A5" s="134" t="s">
        <v>59</v>
      </c>
      <c r="B5" s="134"/>
      <c r="C5" s="134"/>
    </row>
    <row r="6" spans="1:5" ht="16.5" thickBot="1">
      <c r="A6" s="135" t="s">
        <v>118</v>
      </c>
      <c r="B6" s="135"/>
    </row>
    <row r="7" spans="1:5" ht="100.5" customHeight="1" thickBot="1">
      <c r="A7" s="19" t="s">
        <v>60</v>
      </c>
      <c r="B7" s="20" t="s">
        <v>61</v>
      </c>
      <c r="C7" s="20" t="s">
        <v>62</v>
      </c>
    </row>
    <row r="8" spans="1:5" ht="16.5" thickBot="1">
      <c r="A8" s="35"/>
      <c r="B8" s="36" t="s">
        <v>63</v>
      </c>
      <c r="C8" s="37"/>
      <c r="D8" s="95"/>
      <c r="E8" s="95"/>
    </row>
    <row r="9" spans="1:5">
      <c r="A9" s="38" t="s">
        <v>74</v>
      </c>
      <c r="B9" s="39" t="s">
        <v>299</v>
      </c>
      <c r="C9" s="43">
        <f>ROUND(10.87*140,2)</f>
        <v>1521.8</v>
      </c>
      <c r="D9" s="94"/>
      <c r="E9" s="94"/>
    </row>
    <row r="10" spans="1:5" ht="32.25" thickBot="1">
      <c r="A10" s="21" t="s">
        <v>75</v>
      </c>
      <c r="B10" s="65" t="s">
        <v>73</v>
      </c>
      <c r="C10" s="27">
        <f>ROUND(C9*0.2409,2)</f>
        <v>366.6</v>
      </c>
    </row>
    <row r="11" spans="1:5" ht="16.5" thickBot="1">
      <c r="A11" s="21"/>
      <c r="B11" s="25" t="s">
        <v>64</v>
      </c>
      <c r="C11" s="26">
        <f>SUM(C9:C10)</f>
        <v>1888.4</v>
      </c>
    </row>
    <row r="12" spans="1:5" ht="16.5" thickBot="1">
      <c r="A12" s="21"/>
      <c r="B12" s="25" t="s">
        <v>65</v>
      </c>
      <c r="C12" s="27"/>
    </row>
    <row r="13" spans="1:5" ht="32.25" thickBot="1">
      <c r="A13" s="21" t="s">
        <v>87</v>
      </c>
      <c r="B13" s="23" t="s">
        <v>343</v>
      </c>
      <c r="C13" s="27">
        <f>ROUND(0.11*140,2)</f>
        <v>15.4</v>
      </c>
      <c r="E13" s="30"/>
    </row>
    <row r="14" spans="1:5" ht="32.25" thickBot="1">
      <c r="A14" s="21" t="s">
        <v>85</v>
      </c>
      <c r="B14" s="67" t="s">
        <v>294</v>
      </c>
      <c r="C14" s="27">
        <f>ROUND(0.64*140,2)</f>
        <v>89.6</v>
      </c>
    </row>
    <row r="15" spans="1:5" ht="32.25" thickBot="1">
      <c r="A15" s="21" t="s">
        <v>86</v>
      </c>
      <c r="B15" s="24" t="s">
        <v>298</v>
      </c>
      <c r="C15" s="27">
        <f>ROUND((46423/364914)*140,2)</f>
        <v>17.809999999999999</v>
      </c>
    </row>
    <row r="16" spans="1:5" ht="32.25" thickBot="1">
      <c r="A16" s="21" t="s">
        <v>82</v>
      </c>
      <c r="B16" s="24" t="s">
        <v>354</v>
      </c>
      <c r="C16" s="27">
        <f>ROUND((42368/364914)*140,2)</f>
        <v>16.25</v>
      </c>
    </row>
    <row r="17" spans="1:6" ht="16.5" thickBot="1">
      <c r="A17" s="21"/>
      <c r="B17" s="22" t="s">
        <v>66</v>
      </c>
      <c r="C17" s="26">
        <f>SUM(C13:C16)</f>
        <v>139.06</v>
      </c>
    </row>
    <row r="18" spans="1:6" ht="16.5" thickBot="1">
      <c r="A18" s="21"/>
      <c r="B18" s="31" t="s">
        <v>67</v>
      </c>
      <c r="C18" s="26">
        <f>C17+C11</f>
        <v>2027.46</v>
      </c>
    </row>
    <row r="19" spans="1:6">
      <c r="C19" s="9"/>
    </row>
    <row r="20" spans="1:6" ht="16.5" thickBot="1">
      <c r="C20" s="9"/>
    </row>
    <row r="21" spans="1:6" ht="16.5" thickBot="1">
      <c r="A21" s="130" t="s">
        <v>68</v>
      </c>
      <c r="B21" s="131"/>
      <c r="C21" s="32">
        <v>140</v>
      </c>
    </row>
    <row r="22" spans="1:6" ht="16.5" thickBot="1">
      <c r="A22" s="130" t="s">
        <v>69</v>
      </c>
      <c r="B22" s="131"/>
      <c r="C22" s="33">
        <f>ROUND(C18/C21,2)</f>
        <v>14.48</v>
      </c>
    </row>
    <row r="24" spans="1:6">
      <c r="A24" s="13"/>
      <c r="B24" s="13"/>
      <c r="C24" s="45"/>
      <c r="D24" s="13"/>
      <c r="E24" s="13"/>
      <c r="F24" s="13"/>
    </row>
    <row r="25" spans="1:6">
      <c r="A25" s="132"/>
      <c r="B25" s="132"/>
      <c r="C25" s="13"/>
      <c r="D25" s="13"/>
      <c r="E25" s="13"/>
      <c r="F25" s="13"/>
    </row>
    <row r="26" spans="1:6" ht="18.75">
      <c r="A26" s="133"/>
      <c r="B26" s="133"/>
      <c r="C26" s="34"/>
      <c r="D26" s="34"/>
      <c r="E26" s="13"/>
      <c r="F26" s="13"/>
    </row>
  </sheetData>
  <mergeCells count="9">
    <mergeCell ref="A22:B22"/>
    <mergeCell ref="A25:B25"/>
    <mergeCell ref="A26:B26"/>
    <mergeCell ref="A1:C1"/>
    <mergeCell ref="A3:C3"/>
    <mergeCell ref="A4:C4"/>
    <mergeCell ref="A5:C5"/>
    <mergeCell ref="A6:B6"/>
    <mergeCell ref="A21:B21"/>
  </mergeCells>
  <pageMargins left="0.7" right="0.7" top="0.75" bottom="0.75" header="0.3" footer="0.3"/>
  <pageSetup paperSize="9" scale="71"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2" tint="-0.499984740745262"/>
  </sheetPr>
  <dimension ref="A1:F39"/>
  <sheetViews>
    <sheetView zoomScale="80" zoomScaleNormal="80" workbookViewId="0">
      <selection activeCell="C41" sqref="C41"/>
    </sheetView>
  </sheetViews>
  <sheetFormatPr defaultColWidth="8.85546875" defaultRowHeight="15.75"/>
  <cols>
    <col min="1" max="1" width="14.140625" style="1" customWidth="1"/>
    <col min="2" max="2" width="104" style="1" customWidth="1"/>
    <col min="3" max="3" width="19.85546875" style="1" customWidth="1"/>
    <col min="4" max="16384" width="8.85546875" style="1"/>
  </cols>
  <sheetData>
    <row r="1" spans="1:4">
      <c r="A1" s="121" t="s">
        <v>58</v>
      </c>
      <c r="B1" s="121"/>
      <c r="C1" s="121"/>
      <c r="D1" s="18"/>
    </row>
    <row r="3" spans="1:4">
      <c r="A3" s="134" t="s">
        <v>70</v>
      </c>
      <c r="B3" s="134"/>
      <c r="C3" s="134"/>
    </row>
    <row r="4" spans="1:4">
      <c r="A4" s="134" t="s">
        <v>119</v>
      </c>
      <c r="B4" s="134"/>
      <c r="C4" s="134"/>
    </row>
    <row r="5" spans="1:4">
      <c r="A5" s="134" t="s">
        <v>59</v>
      </c>
      <c r="B5" s="134"/>
      <c r="C5" s="134"/>
    </row>
    <row r="6" spans="1:4" ht="16.5" thickBot="1">
      <c r="A6" s="135" t="s">
        <v>116</v>
      </c>
      <c r="B6" s="135"/>
    </row>
    <row r="7" spans="1:4" ht="96" customHeight="1" thickBot="1">
      <c r="A7" s="19" t="s">
        <v>60</v>
      </c>
      <c r="B7" s="20" t="s">
        <v>61</v>
      </c>
      <c r="C7" s="20" t="s">
        <v>62</v>
      </c>
    </row>
    <row r="8" spans="1:4" ht="16.5" thickBot="1">
      <c r="A8" s="35"/>
      <c r="B8" s="36" t="s">
        <v>63</v>
      </c>
      <c r="C8" s="37"/>
      <c r="D8" s="95"/>
    </row>
    <row r="9" spans="1:4">
      <c r="A9" s="136" t="s">
        <v>74</v>
      </c>
      <c r="B9" s="39" t="s">
        <v>110</v>
      </c>
      <c r="C9" s="43">
        <f>ROUND(25.04*13,2)</f>
        <v>325.52</v>
      </c>
      <c r="D9" s="95"/>
    </row>
    <row r="10" spans="1:4">
      <c r="A10" s="137"/>
      <c r="B10" s="40" t="s">
        <v>300</v>
      </c>
      <c r="C10" s="104">
        <f>ROUND(14.49*13,2)</f>
        <v>188.37</v>
      </c>
      <c r="D10" s="95"/>
    </row>
    <row r="11" spans="1:4">
      <c r="A11" s="140"/>
      <c r="B11" s="40" t="s">
        <v>300</v>
      </c>
      <c r="C11" s="104">
        <f>ROUND(14.49*13,2)</f>
        <v>188.37</v>
      </c>
      <c r="D11" s="95"/>
    </row>
    <row r="12" spans="1:4" ht="16.5" thickBot="1">
      <c r="A12" s="138"/>
      <c r="B12" s="41" t="s">
        <v>299</v>
      </c>
      <c r="C12" s="105">
        <f>ROUND(10.87*13,2)</f>
        <v>141.31</v>
      </c>
      <c r="D12" s="95"/>
    </row>
    <row r="13" spans="1:4" ht="15.75" customHeight="1" thickBot="1">
      <c r="A13" s="21" t="s">
        <v>75</v>
      </c>
      <c r="B13" s="65" t="s">
        <v>73</v>
      </c>
      <c r="C13" s="27">
        <f>ROUND((C9+C10+C11+C12)*0.2409,2)</f>
        <v>203.22</v>
      </c>
    </row>
    <row r="14" spans="1:4" ht="32.25" thickBot="1">
      <c r="A14" s="21" t="s">
        <v>76</v>
      </c>
      <c r="B14" s="24" t="s">
        <v>284</v>
      </c>
      <c r="C14" s="27">
        <f>ROUND((367899/364914)*13,2)</f>
        <v>13.11</v>
      </c>
    </row>
    <row r="15" spans="1:4" ht="32.25" thickBot="1">
      <c r="A15" s="21" t="s">
        <v>78</v>
      </c>
      <c r="B15" s="24" t="s">
        <v>344</v>
      </c>
      <c r="C15" s="46">
        <f>ROUND((1.63+27.58)*13,2)</f>
        <v>379.73</v>
      </c>
    </row>
    <row r="16" spans="1:4" ht="32.25" thickBot="1">
      <c r="A16" s="21" t="s">
        <v>79</v>
      </c>
      <c r="B16" s="65" t="s">
        <v>321</v>
      </c>
      <c r="C16" s="27">
        <f>ROUND((452717/364914)*13,2)</f>
        <v>16.13</v>
      </c>
    </row>
    <row r="17" spans="1:4" ht="32.25" thickBot="1">
      <c r="A17" s="21" t="s">
        <v>81</v>
      </c>
      <c r="B17" s="24" t="s">
        <v>322</v>
      </c>
      <c r="C17" s="27">
        <f>ROUND((624380/364914)*13,2)</f>
        <v>22.24</v>
      </c>
    </row>
    <row r="18" spans="1:4" ht="32.25" thickBot="1">
      <c r="A18" s="21" t="s">
        <v>154</v>
      </c>
      <c r="B18" s="24" t="s">
        <v>287</v>
      </c>
      <c r="C18" s="27">
        <f>ROUND(1.37*13,2)</f>
        <v>17.809999999999999</v>
      </c>
    </row>
    <row r="19" spans="1:4" ht="32.25" thickBot="1">
      <c r="A19" s="21" t="s">
        <v>80</v>
      </c>
      <c r="B19" s="23" t="s">
        <v>288</v>
      </c>
      <c r="C19" s="27">
        <f>ROUND(5.41*13,2)</f>
        <v>70.33</v>
      </c>
    </row>
    <row r="20" spans="1:4" ht="16.5" thickBot="1">
      <c r="A20" s="21"/>
      <c r="B20" s="25" t="s">
        <v>64</v>
      </c>
      <c r="C20" s="26">
        <f>SUM(C9:C19)</f>
        <v>1566.1399999999999</v>
      </c>
    </row>
    <row r="21" spans="1:4" ht="16.5" thickBot="1">
      <c r="A21" s="21"/>
      <c r="B21" s="25" t="s">
        <v>65</v>
      </c>
      <c r="C21" s="27"/>
    </row>
    <row r="22" spans="1:4" ht="15.75" customHeight="1" thickBot="1">
      <c r="A22" s="21" t="s">
        <v>83</v>
      </c>
      <c r="B22" s="28" t="s">
        <v>147</v>
      </c>
      <c r="C22" s="27">
        <f>ROUND((C9+C10+C11+C12)*0.25,2)</f>
        <v>210.89</v>
      </c>
    </row>
    <row r="23" spans="1:4" ht="17.25" customHeight="1" thickBot="1">
      <c r="A23" s="21" t="s">
        <v>75</v>
      </c>
      <c r="B23" s="65" t="s">
        <v>73</v>
      </c>
      <c r="C23" s="27">
        <f>ROUND(C22*0.2409,2)</f>
        <v>50.8</v>
      </c>
    </row>
    <row r="24" spans="1:4" ht="32.25" thickBot="1">
      <c r="A24" s="21" t="s">
        <v>87</v>
      </c>
      <c r="B24" s="23" t="s">
        <v>292</v>
      </c>
      <c r="C24" s="27">
        <f>ROUND(0.11*13,2)</f>
        <v>1.43</v>
      </c>
      <c r="D24" s="30"/>
    </row>
    <row r="25" spans="1:4" ht="32.25" thickBot="1">
      <c r="A25" s="21" t="s">
        <v>84</v>
      </c>
      <c r="B25" s="24" t="s">
        <v>293</v>
      </c>
      <c r="C25" s="27">
        <f>ROUND((813902/364914)*13,2)</f>
        <v>29</v>
      </c>
    </row>
    <row r="26" spans="1:4" ht="32.25" thickBot="1">
      <c r="A26" s="21" t="s">
        <v>85</v>
      </c>
      <c r="B26" s="67" t="s">
        <v>294</v>
      </c>
      <c r="C26" s="27">
        <f>ROUND((234731/364914)*13,2)</f>
        <v>8.36</v>
      </c>
    </row>
    <row r="27" spans="1:4" ht="32.25" thickBot="1">
      <c r="A27" s="21" t="s">
        <v>81</v>
      </c>
      <c r="B27" s="29" t="s">
        <v>303</v>
      </c>
      <c r="C27" s="27">
        <f>ROUND(1.54*13,2)</f>
        <v>20.02</v>
      </c>
    </row>
    <row r="28" spans="1:4" ht="32.25" thickBot="1">
      <c r="A28" s="21" t="s">
        <v>77</v>
      </c>
      <c r="B28" s="24" t="s">
        <v>318</v>
      </c>
      <c r="C28" s="27">
        <f>ROUND(1.72*13,2)</f>
        <v>22.36</v>
      </c>
    </row>
    <row r="29" spans="1:4" ht="33" customHeight="1" thickBot="1">
      <c r="A29" s="21" t="s">
        <v>133</v>
      </c>
      <c r="B29" s="65" t="s">
        <v>304</v>
      </c>
      <c r="C29" s="27">
        <f>ROUND((286606/364914)*13,2)</f>
        <v>10.210000000000001</v>
      </c>
    </row>
    <row r="30" spans="1:4" ht="32.25" thickBot="1">
      <c r="A30" s="21" t="s">
        <v>131</v>
      </c>
      <c r="B30" s="24" t="s">
        <v>297</v>
      </c>
      <c r="C30" s="27">
        <f>ROUND((157571/364914)*13,2)</f>
        <v>5.61</v>
      </c>
    </row>
    <row r="31" spans="1:4" ht="32.25" thickBot="1">
      <c r="A31" s="21" t="s">
        <v>86</v>
      </c>
      <c r="B31" s="24" t="s">
        <v>298</v>
      </c>
      <c r="C31" s="27">
        <f>ROUND((46423/364914)*13,2)</f>
        <v>1.65</v>
      </c>
    </row>
    <row r="32" spans="1:4" ht="32.25" thickBot="1">
      <c r="A32" s="21" t="s">
        <v>82</v>
      </c>
      <c r="B32" s="65" t="s">
        <v>354</v>
      </c>
      <c r="C32" s="27">
        <f>ROUND((42368/364914)*13,2)</f>
        <v>1.51</v>
      </c>
    </row>
    <row r="33" spans="1:6" ht="48" thickBot="1">
      <c r="A33" s="21" t="s">
        <v>155</v>
      </c>
      <c r="B33" s="65" t="s">
        <v>363</v>
      </c>
      <c r="C33" s="46">
        <f>ROUND(1.12*13+4.14*13,2)</f>
        <v>68.38</v>
      </c>
      <c r="F33" s="9"/>
    </row>
    <row r="34" spans="1:6" ht="16.5" thickBot="1">
      <c r="A34" s="21"/>
      <c r="B34" s="22" t="s">
        <v>66</v>
      </c>
      <c r="C34" s="26">
        <f>SUM(C22:C33)</f>
        <v>430.21999999999997</v>
      </c>
    </row>
    <row r="35" spans="1:6" ht="16.5" thickBot="1">
      <c r="A35" s="21"/>
      <c r="B35" s="31" t="s">
        <v>67</v>
      </c>
      <c r="C35" s="26">
        <f>C34+C20</f>
        <v>1996.36</v>
      </c>
    </row>
    <row r="36" spans="1:6">
      <c r="C36" s="9"/>
    </row>
    <row r="37" spans="1:6" ht="16.5" thickBot="1">
      <c r="C37" s="9"/>
    </row>
    <row r="38" spans="1:6" ht="16.5" thickBot="1">
      <c r="A38" s="130" t="s">
        <v>68</v>
      </c>
      <c r="B38" s="131"/>
      <c r="C38" s="32">
        <v>13</v>
      </c>
    </row>
    <row r="39" spans="1:6" ht="16.5" thickBot="1">
      <c r="A39" s="130" t="s">
        <v>69</v>
      </c>
      <c r="B39" s="131"/>
      <c r="C39" s="33">
        <f>ROUND(C35/C38,2)</f>
        <v>153.57</v>
      </c>
    </row>
  </sheetData>
  <mergeCells count="8">
    <mergeCell ref="A38:B38"/>
    <mergeCell ref="A39:B39"/>
    <mergeCell ref="A1:C1"/>
    <mergeCell ref="A3:C3"/>
    <mergeCell ref="A4:C4"/>
    <mergeCell ref="A5:C5"/>
    <mergeCell ref="A6:B6"/>
    <mergeCell ref="A9:A12"/>
  </mergeCells>
  <pageMargins left="0.70866141732283472" right="0.70866141732283472" top="0.74803149606299213" bottom="0.74803149606299213" header="0.31496062992125984" footer="0.31496062992125984"/>
  <pageSetup paperSize="9" scale="5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3"/>
  </sheetPr>
  <dimension ref="A1:F22"/>
  <sheetViews>
    <sheetView zoomScale="80" zoomScaleNormal="80" zoomScaleSheetLayoutView="100" workbookViewId="0">
      <selection activeCell="C20" sqref="C20"/>
    </sheetView>
  </sheetViews>
  <sheetFormatPr defaultColWidth="8.85546875" defaultRowHeight="15.75"/>
  <cols>
    <col min="1" max="1" width="17.140625" style="1" customWidth="1"/>
    <col min="2" max="2" width="91.5703125" style="1" customWidth="1"/>
    <col min="3" max="3" width="19.85546875" style="1" customWidth="1"/>
    <col min="4" max="4" width="14.85546875" style="1" customWidth="1"/>
    <col min="5" max="16384" width="8.85546875" style="1"/>
  </cols>
  <sheetData>
    <row r="1" spans="1:5">
      <c r="A1" s="121" t="s">
        <v>58</v>
      </c>
      <c r="B1" s="121"/>
      <c r="C1" s="121"/>
      <c r="D1" s="18"/>
      <c r="E1" s="18"/>
    </row>
    <row r="3" spans="1:5">
      <c r="A3" s="134" t="s">
        <v>70</v>
      </c>
      <c r="B3" s="134"/>
      <c r="C3" s="134"/>
    </row>
    <row r="4" spans="1:5">
      <c r="A4" s="134" t="s">
        <v>120</v>
      </c>
      <c r="B4" s="134"/>
      <c r="C4" s="134"/>
    </row>
    <row r="5" spans="1:5">
      <c r="A5" s="134" t="s">
        <v>59</v>
      </c>
      <c r="B5" s="134"/>
      <c r="C5" s="134"/>
    </row>
    <row r="6" spans="1:5" ht="16.5" thickBot="1">
      <c r="A6" s="135" t="s">
        <v>190</v>
      </c>
      <c r="B6" s="135"/>
    </row>
    <row r="7" spans="1:5" ht="79.5" thickBot="1">
      <c r="A7" s="19" t="s">
        <v>60</v>
      </c>
      <c r="B7" s="20" t="s">
        <v>61</v>
      </c>
      <c r="C7" s="20" t="s">
        <v>62</v>
      </c>
    </row>
    <row r="8" spans="1:5" ht="16.5" thickBot="1">
      <c r="A8" s="35"/>
      <c r="B8" s="36" t="s">
        <v>63</v>
      </c>
      <c r="C8" s="37"/>
    </row>
    <row r="9" spans="1:5" ht="31.5">
      <c r="A9" s="86" t="s">
        <v>80</v>
      </c>
      <c r="B9" s="88" t="s">
        <v>345</v>
      </c>
      <c r="C9" s="90">
        <f>ROUND(((15/100)*1.317)*10624,2)</f>
        <v>2098.77</v>
      </c>
    </row>
    <row r="10" spans="1:5" ht="16.5" thickBot="1">
      <c r="A10" s="87" t="s">
        <v>81</v>
      </c>
      <c r="B10" s="89" t="s">
        <v>355</v>
      </c>
      <c r="C10" s="91">
        <v>663.47</v>
      </c>
    </row>
    <row r="11" spans="1:5" ht="16.5" thickBot="1">
      <c r="A11" s="21"/>
      <c r="B11" s="25" t="s">
        <v>64</v>
      </c>
      <c r="C11" s="26">
        <f>SUM(C9:C10)</f>
        <v>2762.24</v>
      </c>
    </row>
    <row r="12" spans="1:5" ht="16.5" thickBot="1">
      <c r="A12" s="21"/>
      <c r="B12" s="25" t="s">
        <v>65</v>
      </c>
      <c r="C12" s="27"/>
    </row>
    <row r="13" spans="1:5" ht="16.5" thickBot="1">
      <c r="A13" s="21"/>
      <c r="B13" s="22" t="s">
        <v>66</v>
      </c>
      <c r="C13" s="26">
        <v>0</v>
      </c>
    </row>
    <row r="14" spans="1:5" ht="16.5" thickBot="1">
      <c r="A14" s="21"/>
      <c r="B14" s="31" t="s">
        <v>67</v>
      </c>
      <c r="C14" s="26">
        <f>C13+C11</f>
        <v>2762.24</v>
      </c>
    </row>
    <row r="15" spans="1:5">
      <c r="C15" s="9"/>
    </row>
    <row r="16" spans="1:5" ht="16.5" thickBot="1">
      <c r="C16" s="9"/>
    </row>
    <row r="17" spans="1:6" ht="16.5" thickBot="1">
      <c r="A17" s="130" t="s">
        <v>68</v>
      </c>
      <c r="B17" s="131"/>
      <c r="C17" s="32">
        <v>10624</v>
      </c>
    </row>
    <row r="18" spans="1:6" ht="16.5" thickBot="1">
      <c r="A18" s="130" t="s">
        <v>69</v>
      </c>
      <c r="B18" s="131"/>
      <c r="C18" s="33">
        <f>ROUND(C14/C17,2)</f>
        <v>0.26</v>
      </c>
    </row>
    <row r="20" spans="1:6">
      <c r="A20" s="13"/>
      <c r="B20" s="13"/>
      <c r="C20" s="45"/>
      <c r="D20" s="13"/>
      <c r="E20" s="13"/>
      <c r="F20" s="13"/>
    </row>
    <row r="21" spans="1:6">
      <c r="A21" s="132"/>
      <c r="B21" s="132"/>
      <c r="C21" s="13"/>
      <c r="D21" s="13"/>
      <c r="E21" s="13"/>
      <c r="F21" s="13"/>
    </row>
    <row r="22" spans="1:6" ht="18.75">
      <c r="A22" s="133"/>
      <c r="B22" s="133"/>
      <c r="C22" s="34"/>
      <c r="D22" s="34"/>
      <c r="E22" s="13"/>
      <c r="F22" s="13"/>
    </row>
  </sheetData>
  <mergeCells count="9">
    <mergeCell ref="A17:B17"/>
    <mergeCell ref="A18:B18"/>
    <mergeCell ref="A21:B21"/>
    <mergeCell ref="A22:B22"/>
    <mergeCell ref="A1:C1"/>
    <mergeCell ref="A3:C3"/>
    <mergeCell ref="A4:C4"/>
    <mergeCell ref="A5:C5"/>
    <mergeCell ref="A6:B6"/>
  </mergeCells>
  <pageMargins left="0.7" right="0.7" top="0.75" bottom="0.75" header="0.3" footer="0.3"/>
  <pageSetup paperSize="9" scale="63"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G42"/>
  <sheetViews>
    <sheetView zoomScale="80" zoomScaleNormal="80" zoomScaleSheetLayoutView="100" workbookViewId="0">
      <selection activeCell="C40" sqref="C40"/>
    </sheetView>
  </sheetViews>
  <sheetFormatPr defaultColWidth="8.85546875" defaultRowHeight="15.75"/>
  <cols>
    <col min="1" max="1" width="11.7109375" style="1" customWidth="1"/>
    <col min="2" max="2" width="94.42578125" style="1" customWidth="1"/>
    <col min="3" max="3" width="19.85546875" style="1" customWidth="1"/>
    <col min="4" max="4" width="7.5703125" style="1" customWidth="1"/>
    <col min="5" max="5" width="7.42578125" style="1" customWidth="1"/>
    <col min="6" max="16384" width="8.85546875" style="1"/>
  </cols>
  <sheetData>
    <row r="1" spans="1:5">
      <c r="A1" s="121" t="s">
        <v>58</v>
      </c>
      <c r="B1" s="121"/>
      <c r="C1" s="121"/>
      <c r="D1" s="18"/>
      <c r="E1" s="18"/>
    </row>
    <row r="3" spans="1:5">
      <c r="A3" s="134" t="s">
        <v>70</v>
      </c>
      <c r="B3" s="134"/>
      <c r="C3" s="134"/>
    </row>
    <row r="4" spans="1:5" ht="30.75" customHeight="1">
      <c r="A4" s="134" t="s">
        <v>108</v>
      </c>
      <c r="B4" s="134"/>
      <c r="C4" s="134"/>
    </row>
    <row r="5" spans="1:5">
      <c r="A5" s="134" t="s">
        <v>59</v>
      </c>
      <c r="B5" s="134"/>
      <c r="C5" s="134"/>
    </row>
    <row r="6" spans="1:5" ht="16.5" thickBot="1">
      <c r="A6" s="135" t="s">
        <v>98</v>
      </c>
      <c r="B6" s="135"/>
    </row>
    <row r="7" spans="1:5" ht="79.5" thickBot="1">
      <c r="A7" s="19" t="s">
        <v>60</v>
      </c>
      <c r="B7" s="20" t="s">
        <v>61</v>
      </c>
      <c r="C7" s="20" t="s">
        <v>62</v>
      </c>
    </row>
    <row r="8" spans="1:5" ht="16.5" thickBot="1">
      <c r="A8" s="35"/>
      <c r="B8" s="36" t="s">
        <v>63</v>
      </c>
      <c r="C8" s="37"/>
      <c r="D8" s="95"/>
      <c r="E8" s="95"/>
    </row>
    <row r="9" spans="1:5">
      <c r="A9" s="136" t="s">
        <v>74</v>
      </c>
      <c r="B9" s="39" t="s">
        <v>89</v>
      </c>
      <c r="C9" s="43">
        <f>ROUND(25.04*4,2)</f>
        <v>100.16</v>
      </c>
      <c r="D9" s="94"/>
      <c r="E9" s="95"/>
    </row>
    <row r="10" spans="1:5">
      <c r="A10" s="137"/>
      <c r="B10" s="40" t="s">
        <v>300</v>
      </c>
      <c r="C10" s="104">
        <f>ROUND(14.49*4,2)</f>
        <v>57.96</v>
      </c>
      <c r="D10" s="95"/>
      <c r="E10" s="95"/>
    </row>
    <row r="11" spans="1:5" ht="16.5" thickBot="1">
      <c r="A11" s="138"/>
      <c r="B11" s="41" t="s">
        <v>299</v>
      </c>
      <c r="C11" s="105">
        <f>ROUND(10.87*4,2)</f>
        <v>43.48</v>
      </c>
      <c r="D11" s="95"/>
      <c r="E11" s="95"/>
    </row>
    <row r="12" spans="1:5" ht="32.25" thickBot="1">
      <c r="A12" s="21" t="s">
        <v>75</v>
      </c>
      <c r="B12" s="65" t="s">
        <v>73</v>
      </c>
      <c r="C12" s="27">
        <f>ROUND((C9+C10+C11)*0.2409,2)</f>
        <v>48.57</v>
      </c>
    </row>
    <row r="13" spans="1:5" ht="32.25" thickBot="1">
      <c r="A13" s="21" t="s">
        <v>76</v>
      </c>
      <c r="B13" s="24" t="s">
        <v>284</v>
      </c>
      <c r="C13" s="27">
        <f>ROUND(1.01*4,2)</f>
        <v>4.04</v>
      </c>
    </row>
    <row r="14" spans="1:5" ht="32.25" thickBot="1">
      <c r="A14" s="21" t="s">
        <v>78</v>
      </c>
      <c r="B14" s="24" t="s">
        <v>328</v>
      </c>
      <c r="C14" s="46">
        <f>ROUND((1.63+11.52)*4,2)</f>
        <v>52.6</v>
      </c>
    </row>
    <row r="15" spans="1:5" ht="32.25" thickBot="1">
      <c r="A15" s="21" t="s">
        <v>79</v>
      </c>
      <c r="B15" s="65" t="s">
        <v>290</v>
      </c>
      <c r="C15" s="27">
        <f>ROUND(1.03*4,2)</f>
        <v>4.12</v>
      </c>
    </row>
    <row r="16" spans="1:5" ht="32.25" thickBot="1">
      <c r="A16" s="21" t="s">
        <v>81</v>
      </c>
      <c r="B16" s="24" t="s">
        <v>286</v>
      </c>
      <c r="C16" s="27">
        <f>ROUND(1.71*4,2)</f>
        <v>6.84</v>
      </c>
    </row>
    <row r="17" spans="1:7" ht="32.25" thickBot="1">
      <c r="A17" s="21" t="s">
        <v>154</v>
      </c>
      <c r="B17" s="24" t="s">
        <v>287</v>
      </c>
      <c r="C17" s="27">
        <f>ROUND(1.37*4,2)</f>
        <v>5.48</v>
      </c>
    </row>
    <row r="18" spans="1:7" ht="32.25" thickBot="1">
      <c r="A18" s="21" t="s">
        <v>80</v>
      </c>
      <c r="B18" s="24" t="s">
        <v>288</v>
      </c>
      <c r="C18" s="46">
        <f>ROUND(5.41*4,2)</f>
        <v>21.64</v>
      </c>
    </row>
    <row r="19" spans="1:7" ht="16.5" thickBot="1">
      <c r="A19" s="21"/>
      <c r="B19" s="25" t="s">
        <v>64</v>
      </c>
      <c r="C19" s="26">
        <f>SUM(C9:C18)</f>
        <v>344.89</v>
      </c>
    </row>
    <row r="20" spans="1:7" ht="16.5" thickBot="1">
      <c r="A20" s="21"/>
      <c r="B20" s="25" t="s">
        <v>65</v>
      </c>
      <c r="C20" s="27"/>
    </row>
    <row r="21" spans="1:7" ht="32.25" thickBot="1">
      <c r="A21" s="21" t="s">
        <v>83</v>
      </c>
      <c r="B21" s="28" t="s">
        <v>146</v>
      </c>
      <c r="C21" s="27">
        <f>ROUND((C9+C10+C11)*0.15,2)</f>
        <v>30.24</v>
      </c>
    </row>
    <row r="22" spans="1:7" ht="32.25" thickBot="1">
      <c r="A22" s="21" t="s">
        <v>75</v>
      </c>
      <c r="B22" s="24" t="s">
        <v>73</v>
      </c>
      <c r="C22" s="27">
        <f>ROUND(C21*0.2409,2)</f>
        <v>7.28</v>
      </c>
    </row>
    <row r="23" spans="1:7" ht="32.25" thickBot="1">
      <c r="A23" s="21" t="s">
        <v>87</v>
      </c>
      <c r="B23" s="23" t="s">
        <v>292</v>
      </c>
      <c r="C23" s="27">
        <f>ROUND((39708/364914)*4,2)</f>
        <v>0.44</v>
      </c>
      <c r="E23" s="30"/>
    </row>
    <row r="24" spans="1:7" ht="32.25" thickBot="1">
      <c r="A24" s="21" t="s">
        <v>84</v>
      </c>
      <c r="B24" s="24" t="s">
        <v>346</v>
      </c>
      <c r="C24" s="27">
        <f>ROUND(2.23*4,2)</f>
        <v>8.92</v>
      </c>
    </row>
    <row r="25" spans="1:7" ht="32.25" thickBot="1">
      <c r="A25" s="21" t="s">
        <v>85</v>
      </c>
      <c r="B25" s="23" t="s">
        <v>294</v>
      </c>
      <c r="C25" s="27">
        <f>ROUND(0.64*4,2)</f>
        <v>2.56</v>
      </c>
    </row>
    <row r="26" spans="1:7" ht="32.25" thickBot="1">
      <c r="A26" s="21" t="s">
        <v>81</v>
      </c>
      <c r="B26" s="29" t="s">
        <v>303</v>
      </c>
      <c r="C26" s="27">
        <f>ROUND(1.54*4,2)</f>
        <v>6.16</v>
      </c>
    </row>
    <row r="27" spans="1:7" ht="32.25" thickBot="1">
      <c r="A27" s="21" t="s">
        <v>77</v>
      </c>
      <c r="B27" s="65" t="s">
        <v>295</v>
      </c>
      <c r="C27" s="27">
        <f>ROUND(1.72*4,2)</f>
        <v>6.88</v>
      </c>
    </row>
    <row r="28" spans="1:7" ht="32.25" thickBot="1">
      <c r="A28" s="21" t="s">
        <v>133</v>
      </c>
      <c r="B28" s="24" t="s">
        <v>304</v>
      </c>
      <c r="C28" s="27">
        <f>ROUND(0.79*4,2)</f>
        <v>3.16</v>
      </c>
    </row>
    <row r="29" spans="1:7" ht="32.25" thickBot="1">
      <c r="A29" s="21" t="s">
        <v>131</v>
      </c>
      <c r="B29" s="24" t="s">
        <v>297</v>
      </c>
      <c r="C29" s="27">
        <f>ROUND(0.43*4,2)</f>
        <v>1.72</v>
      </c>
    </row>
    <row r="30" spans="1:7" ht="32.25" thickBot="1">
      <c r="A30" s="21" t="s">
        <v>86</v>
      </c>
      <c r="B30" s="24" t="s">
        <v>313</v>
      </c>
      <c r="C30" s="27">
        <f>ROUND(0.13*4,20)</f>
        <v>0.52</v>
      </c>
    </row>
    <row r="31" spans="1:7" ht="32.25" thickBot="1">
      <c r="A31" s="21" t="s">
        <v>82</v>
      </c>
      <c r="B31" s="65" t="s">
        <v>354</v>
      </c>
      <c r="C31" s="27">
        <f>ROUND(0.12*4,2)</f>
        <v>0.48</v>
      </c>
    </row>
    <row r="32" spans="1:7" ht="48" thickBot="1">
      <c r="A32" s="21" t="s">
        <v>155</v>
      </c>
      <c r="B32" s="65" t="s">
        <v>363</v>
      </c>
      <c r="C32" s="27">
        <f>ROUND(1.12*4+4.14*4,2)</f>
        <v>21.04</v>
      </c>
      <c r="G32" s="9"/>
    </row>
    <row r="33" spans="1:6" ht="16.5" thickBot="1">
      <c r="A33" s="21"/>
      <c r="B33" s="22" t="s">
        <v>66</v>
      </c>
      <c r="C33" s="26">
        <f>SUM(C21:C32)</f>
        <v>89.4</v>
      </c>
    </row>
    <row r="34" spans="1:6" ht="16.5" thickBot="1">
      <c r="A34" s="21"/>
      <c r="B34" s="31" t="s">
        <v>67</v>
      </c>
      <c r="C34" s="26">
        <f>C33+C19</f>
        <v>434.28999999999996</v>
      </c>
    </row>
    <row r="35" spans="1:6">
      <c r="C35" s="9"/>
    </row>
    <row r="36" spans="1:6" ht="16.5" thickBot="1">
      <c r="C36" s="9"/>
    </row>
    <row r="37" spans="1:6" ht="16.5" thickBot="1">
      <c r="A37" s="130" t="s">
        <v>68</v>
      </c>
      <c r="B37" s="131"/>
      <c r="C37" s="32">
        <v>4</v>
      </c>
    </row>
    <row r="38" spans="1:6" ht="16.5" thickBot="1">
      <c r="A38" s="130" t="s">
        <v>69</v>
      </c>
      <c r="B38" s="131"/>
      <c r="C38" s="33">
        <f>ROUND(C34/C37,2)</f>
        <v>108.57</v>
      </c>
    </row>
    <row r="40" spans="1:6">
      <c r="A40" s="13"/>
      <c r="B40" s="13"/>
      <c r="C40" s="45"/>
      <c r="D40" s="13"/>
      <c r="E40" s="13"/>
      <c r="F40" s="13"/>
    </row>
    <row r="41" spans="1:6">
      <c r="A41" s="132"/>
      <c r="B41" s="132"/>
      <c r="C41" s="13"/>
      <c r="D41" s="13"/>
      <c r="E41" s="13"/>
      <c r="F41" s="13"/>
    </row>
    <row r="42" spans="1:6" ht="18.75">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theme="2"/>
  </sheetPr>
  <dimension ref="A1:G41"/>
  <sheetViews>
    <sheetView zoomScale="80" zoomScaleNormal="80" workbookViewId="0">
      <selection activeCell="C39" sqref="C39"/>
    </sheetView>
  </sheetViews>
  <sheetFormatPr defaultColWidth="8.85546875" defaultRowHeight="15.75"/>
  <cols>
    <col min="1" max="1" width="14.5703125" style="1" customWidth="1"/>
    <col min="2" max="2" width="106" style="1" customWidth="1"/>
    <col min="3" max="3" width="19.85546875" style="1" customWidth="1"/>
    <col min="4" max="4" width="8" style="1" customWidth="1"/>
    <col min="5" max="16384" width="8.85546875" style="1"/>
  </cols>
  <sheetData>
    <row r="1" spans="1:5">
      <c r="A1" s="121" t="s">
        <v>58</v>
      </c>
      <c r="B1" s="121"/>
      <c r="C1" s="121"/>
      <c r="D1" s="18"/>
      <c r="E1" s="18"/>
    </row>
    <row r="3" spans="1:5">
      <c r="A3" s="134" t="s">
        <v>70</v>
      </c>
      <c r="B3" s="134"/>
      <c r="C3" s="134"/>
    </row>
    <row r="4" spans="1:5">
      <c r="A4" s="134" t="s">
        <v>121</v>
      </c>
      <c r="B4" s="134"/>
      <c r="C4" s="134"/>
    </row>
    <row r="5" spans="1:5">
      <c r="A5" s="134" t="s">
        <v>59</v>
      </c>
      <c r="B5" s="134"/>
      <c r="C5" s="134"/>
    </row>
    <row r="6" spans="1:5" ht="16.5" thickBot="1">
      <c r="A6" s="135" t="s">
        <v>122</v>
      </c>
      <c r="B6" s="135"/>
    </row>
    <row r="7" spans="1:5" ht="87.75" customHeight="1" thickBot="1">
      <c r="A7" s="19" t="s">
        <v>60</v>
      </c>
      <c r="B7" s="20" t="s">
        <v>61</v>
      </c>
      <c r="C7" s="20" t="s">
        <v>62</v>
      </c>
    </row>
    <row r="8" spans="1:5" ht="16.5" thickBot="1">
      <c r="A8" s="35"/>
      <c r="B8" s="36" t="s">
        <v>63</v>
      </c>
      <c r="C8" s="37"/>
      <c r="D8" s="95"/>
      <c r="E8" s="95"/>
    </row>
    <row r="9" spans="1:5">
      <c r="A9" s="136" t="s">
        <v>74</v>
      </c>
      <c r="B9" s="39" t="s">
        <v>123</v>
      </c>
      <c r="C9" s="43">
        <f>ROUND(23.86*206,2)</f>
        <v>4915.16</v>
      </c>
      <c r="D9" s="94"/>
      <c r="E9" s="95"/>
    </row>
    <row r="10" spans="1:5" ht="16.5" thickBot="1">
      <c r="A10" s="138"/>
      <c r="B10" s="41" t="s">
        <v>299</v>
      </c>
      <c r="C10" s="105">
        <f>ROUND(10.87*206,2)</f>
        <v>2239.2199999999998</v>
      </c>
      <c r="D10" s="95"/>
      <c r="E10" s="95"/>
    </row>
    <row r="11" spans="1:5" ht="24" customHeight="1" thickBot="1">
      <c r="A11" s="21" t="s">
        <v>75</v>
      </c>
      <c r="B11" s="65" t="s">
        <v>73</v>
      </c>
      <c r="C11" s="27">
        <f>ROUND((C9+C10)*0.2409,2)</f>
        <v>1723.49</v>
      </c>
    </row>
    <row r="12" spans="1:5" ht="32.25" thickBot="1">
      <c r="A12" s="21" t="s">
        <v>76</v>
      </c>
      <c r="B12" s="24" t="s">
        <v>284</v>
      </c>
      <c r="C12" s="27">
        <f>ROUND((367899/364914)*206,2)</f>
        <v>207.69</v>
      </c>
    </row>
    <row r="13" spans="1:5" ht="32.25" thickBot="1">
      <c r="A13" s="21" t="s">
        <v>78</v>
      </c>
      <c r="B13" s="24" t="s">
        <v>348</v>
      </c>
      <c r="C13" s="46">
        <f>ROUND(((596554/364914)+9.22)*206,2)</f>
        <v>2236.08</v>
      </c>
    </row>
    <row r="14" spans="1:5" ht="26.25" customHeight="1" thickBot="1">
      <c r="A14" s="21" t="s">
        <v>79</v>
      </c>
      <c r="B14" s="65" t="s">
        <v>290</v>
      </c>
      <c r="C14" s="27">
        <f>ROUND((452717/364914)*206,2)</f>
        <v>255.57</v>
      </c>
    </row>
    <row r="15" spans="1:5" ht="32.25" thickBot="1">
      <c r="A15" s="21" t="s">
        <v>81</v>
      </c>
      <c r="B15" s="24" t="s">
        <v>322</v>
      </c>
      <c r="C15" s="27">
        <f>ROUND((624380/364914)*206,2)</f>
        <v>352.47</v>
      </c>
    </row>
    <row r="16" spans="1:5" ht="32.25" thickBot="1">
      <c r="A16" s="21" t="s">
        <v>154</v>
      </c>
      <c r="B16" s="24" t="s">
        <v>287</v>
      </c>
      <c r="C16" s="27">
        <f>ROUND((500471/364914)*206,2)</f>
        <v>282.52</v>
      </c>
    </row>
    <row r="17" spans="1:7" ht="32.25" thickBot="1">
      <c r="A17" s="21" t="s">
        <v>80</v>
      </c>
      <c r="B17" s="24" t="s">
        <v>288</v>
      </c>
      <c r="C17" s="46">
        <f>ROUND(5.41*206,2)</f>
        <v>1114.46</v>
      </c>
    </row>
    <row r="18" spans="1:7" ht="16.5" thickBot="1">
      <c r="A18" s="21"/>
      <c r="B18" s="25" t="s">
        <v>64</v>
      </c>
      <c r="C18" s="26">
        <f>SUM(C9:C17)</f>
        <v>13326.66</v>
      </c>
    </row>
    <row r="19" spans="1:7" ht="16.5" thickBot="1">
      <c r="A19" s="21"/>
      <c r="B19" s="25" t="s">
        <v>65</v>
      </c>
      <c r="C19" s="27"/>
    </row>
    <row r="20" spans="1:7" ht="19.5" customHeight="1" thickBot="1">
      <c r="A20" s="21" t="s">
        <v>83</v>
      </c>
      <c r="B20" s="28" t="s">
        <v>146</v>
      </c>
      <c r="C20" s="27">
        <f>ROUND((C9+C10)*0.15,2)</f>
        <v>1073.1600000000001</v>
      </c>
    </row>
    <row r="21" spans="1:7" ht="18.75" customHeight="1" thickBot="1">
      <c r="A21" s="21" t="s">
        <v>75</v>
      </c>
      <c r="B21" s="65" t="s">
        <v>73</v>
      </c>
      <c r="C21" s="27">
        <f>ROUND(C20*0.2409,2)</f>
        <v>258.52</v>
      </c>
    </row>
    <row r="22" spans="1:7" ht="32.25" thickBot="1">
      <c r="A22" s="21" t="s">
        <v>87</v>
      </c>
      <c r="B22" s="23" t="s">
        <v>292</v>
      </c>
      <c r="C22" s="27">
        <f>ROUND((39708/364914)*206,2)</f>
        <v>22.42</v>
      </c>
      <c r="E22" s="30"/>
    </row>
    <row r="23" spans="1:7" ht="32.25" thickBot="1">
      <c r="A23" s="21" t="s">
        <v>84</v>
      </c>
      <c r="B23" s="24" t="s">
        <v>346</v>
      </c>
      <c r="C23" s="27">
        <f>ROUND(2.23*206,2)</f>
        <v>459.38</v>
      </c>
    </row>
    <row r="24" spans="1:7" ht="32.25" thickBot="1">
      <c r="A24" s="21" t="s">
        <v>85</v>
      </c>
      <c r="B24" s="67" t="s">
        <v>294</v>
      </c>
      <c r="C24" s="27">
        <f>ROUND((234731/364914)*206,2)</f>
        <v>132.51</v>
      </c>
    </row>
    <row r="25" spans="1:7" ht="32.25" thickBot="1">
      <c r="A25" s="21" t="s">
        <v>81</v>
      </c>
      <c r="B25" s="29" t="s">
        <v>303</v>
      </c>
      <c r="C25" s="27">
        <f>ROUND((561364/364914)*206,2)</f>
        <v>316.89999999999998</v>
      </c>
    </row>
    <row r="26" spans="1:7" ht="32.25" thickBot="1">
      <c r="A26" s="21" t="s">
        <v>77</v>
      </c>
      <c r="B26" s="65" t="s">
        <v>349</v>
      </c>
      <c r="C26" s="27">
        <f>ROUNDUP((627676/364914)*206,2)</f>
        <v>354.34</v>
      </c>
    </row>
    <row r="27" spans="1:7" ht="33" customHeight="1" thickBot="1">
      <c r="A27" s="21" t="s">
        <v>133</v>
      </c>
      <c r="B27" s="65" t="s">
        <v>304</v>
      </c>
      <c r="C27" s="27">
        <f>ROUND((286606/364914)*206,2)</f>
        <v>161.79</v>
      </c>
    </row>
    <row r="28" spans="1:7" ht="32.25" thickBot="1">
      <c r="A28" s="21" t="s">
        <v>131</v>
      </c>
      <c r="B28" s="24" t="s">
        <v>305</v>
      </c>
      <c r="C28" s="27">
        <f>ROUND((157571/364914)*206,2)</f>
        <v>88.95</v>
      </c>
    </row>
    <row r="29" spans="1:7" ht="32.25" thickBot="1">
      <c r="A29" s="21" t="s">
        <v>86</v>
      </c>
      <c r="B29" s="24" t="s">
        <v>298</v>
      </c>
      <c r="C29" s="27">
        <f>ROUND((46423/364914)*206,2)</f>
        <v>26.21</v>
      </c>
    </row>
    <row r="30" spans="1:7" ht="32.25" thickBot="1">
      <c r="A30" s="21" t="s">
        <v>82</v>
      </c>
      <c r="B30" s="65" t="s">
        <v>354</v>
      </c>
      <c r="C30" s="27">
        <f>ROUND(0.12*206,2)</f>
        <v>24.72</v>
      </c>
    </row>
    <row r="31" spans="1:7" ht="48" thickBot="1">
      <c r="A31" s="21" t="s">
        <v>155</v>
      </c>
      <c r="B31" s="65" t="s">
        <v>363</v>
      </c>
      <c r="C31" s="27">
        <f>ROUND(1.12*206+4.14*206,2)</f>
        <v>1083.56</v>
      </c>
      <c r="G31" s="9"/>
    </row>
    <row r="32" spans="1:7" ht="16.5" thickBot="1">
      <c r="A32" s="21"/>
      <c r="B32" s="22" t="s">
        <v>66</v>
      </c>
      <c r="C32" s="26">
        <f>SUM(C20:C31)</f>
        <v>4002.4599999999996</v>
      </c>
    </row>
    <row r="33" spans="1:6" ht="16.5" thickBot="1">
      <c r="A33" s="21"/>
      <c r="B33" s="31" t="s">
        <v>67</v>
      </c>
      <c r="C33" s="26">
        <f>C32+C18</f>
        <v>17329.12</v>
      </c>
    </row>
    <row r="34" spans="1:6">
      <c r="C34" s="9"/>
    </row>
    <row r="35" spans="1:6" ht="16.5" thickBot="1">
      <c r="C35" s="9"/>
    </row>
    <row r="36" spans="1:6" ht="16.5" thickBot="1">
      <c r="A36" s="130" t="s">
        <v>68</v>
      </c>
      <c r="B36" s="131"/>
      <c r="C36" s="32">
        <v>206</v>
      </c>
    </row>
    <row r="37" spans="1:6" ht="16.5" thickBot="1">
      <c r="A37" s="130" t="s">
        <v>69</v>
      </c>
      <c r="B37" s="131"/>
      <c r="C37" s="33">
        <f>ROUND(C33/C36,2)</f>
        <v>84.12</v>
      </c>
    </row>
    <row r="39" spans="1:6">
      <c r="A39" s="13"/>
      <c r="B39" s="13"/>
      <c r="C39" s="45"/>
      <c r="D39" s="13"/>
      <c r="E39" s="13"/>
      <c r="F39" s="13"/>
    </row>
    <row r="40" spans="1:6">
      <c r="A40" s="132"/>
      <c r="B40" s="132"/>
      <c r="C40" s="13"/>
      <c r="D40" s="13"/>
      <c r="E40" s="13"/>
      <c r="F40" s="13"/>
    </row>
    <row r="41" spans="1:6" ht="18.75">
      <c r="A41" s="133"/>
      <c r="B41" s="133"/>
      <c r="C41" s="34"/>
      <c r="D41" s="34"/>
      <c r="E41" s="13"/>
      <c r="F41" s="13"/>
    </row>
  </sheetData>
  <mergeCells count="10">
    <mergeCell ref="A36:B36"/>
    <mergeCell ref="A37:B37"/>
    <mergeCell ref="A40:B40"/>
    <mergeCell ref="A41:B41"/>
    <mergeCell ref="A1:C1"/>
    <mergeCell ref="A3:C3"/>
    <mergeCell ref="A4:C4"/>
    <mergeCell ref="A5:C5"/>
    <mergeCell ref="A6:B6"/>
    <mergeCell ref="A9:A10"/>
  </mergeCell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6"/>
  <sheetViews>
    <sheetView zoomScale="80" zoomScaleNormal="80" workbookViewId="0">
      <selection activeCell="C50" sqref="C50"/>
    </sheetView>
  </sheetViews>
  <sheetFormatPr defaultColWidth="8.85546875" defaultRowHeight="15.75"/>
  <cols>
    <col min="1" max="1" width="15" style="1" customWidth="1"/>
    <col min="2" max="2" width="111.42578125" style="1" customWidth="1"/>
    <col min="3" max="3" width="19.85546875" style="1" customWidth="1"/>
    <col min="4" max="4" width="14.7109375" style="1" customWidth="1"/>
    <col min="5" max="16384" width="8.85546875" style="1"/>
  </cols>
  <sheetData>
    <row r="1" spans="1:4">
      <c r="A1" s="121" t="s">
        <v>58</v>
      </c>
      <c r="B1" s="121"/>
      <c r="C1" s="121"/>
      <c r="D1" s="18"/>
    </row>
    <row r="3" spans="1:4">
      <c r="A3" s="134" t="s">
        <v>70</v>
      </c>
      <c r="B3" s="134"/>
      <c r="C3" s="134"/>
    </row>
    <row r="4" spans="1:4" ht="31.5" customHeight="1">
      <c r="A4" s="134" t="s">
        <v>88</v>
      </c>
      <c r="B4" s="134"/>
      <c r="C4" s="134"/>
    </row>
    <row r="5" spans="1:4">
      <c r="A5" s="134" t="s">
        <v>59</v>
      </c>
      <c r="B5" s="134"/>
      <c r="C5" s="134"/>
    </row>
    <row r="6" spans="1:4" ht="16.5" thickBot="1">
      <c r="A6" s="135" t="s">
        <v>186</v>
      </c>
      <c r="B6" s="135"/>
    </row>
    <row r="7" spans="1:4" ht="84.75" customHeight="1" thickBot="1">
      <c r="A7" s="19" t="s">
        <v>60</v>
      </c>
      <c r="B7" s="20" t="s">
        <v>61</v>
      </c>
      <c r="C7" s="20" t="s">
        <v>62</v>
      </c>
      <c r="D7" s="97"/>
    </row>
    <row r="8" spans="1:4" ht="16.5" thickBot="1">
      <c r="A8" s="35"/>
      <c r="B8" s="36" t="s">
        <v>63</v>
      </c>
      <c r="C8" s="37"/>
      <c r="D8" s="95"/>
    </row>
    <row r="9" spans="1:4">
      <c r="A9" s="136" t="s">
        <v>74</v>
      </c>
      <c r="B9" s="62" t="s">
        <v>382</v>
      </c>
      <c r="C9" s="43">
        <f>ROUND(23.86*1010,2)</f>
        <v>24098.6</v>
      </c>
      <c r="D9" s="94"/>
    </row>
    <row r="10" spans="1:4">
      <c r="A10" s="137"/>
      <c r="B10" s="63" t="s">
        <v>383</v>
      </c>
      <c r="C10" s="104">
        <f>ROUND(14.49*1010,2)</f>
        <v>14634.9</v>
      </c>
      <c r="D10" s="95"/>
    </row>
    <row r="11" spans="1:4" ht="16.5" thickBot="1">
      <c r="A11" s="138"/>
      <c r="B11" s="64" t="s">
        <v>384</v>
      </c>
      <c r="C11" s="105">
        <f>ROUND(10.87*1010,2)</f>
        <v>10978.7</v>
      </c>
      <c r="D11" s="95"/>
    </row>
    <row r="12" spans="1:4" ht="25.5" customHeight="1" thickBot="1">
      <c r="A12" s="21" t="s">
        <v>75</v>
      </c>
      <c r="B12" s="65" t="s">
        <v>73</v>
      </c>
      <c r="C12" s="27">
        <f>ROUND((C9+C10+C11)*0.2409,2)</f>
        <v>11975.67</v>
      </c>
    </row>
    <row r="13" spans="1:4" ht="32.25" thickBot="1">
      <c r="A13" s="21" t="s">
        <v>76</v>
      </c>
      <c r="B13" s="65" t="s">
        <v>284</v>
      </c>
      <c r="C13" s="27">
        <f>ROUND((367899/364914)*1010,2)</f>
        <v>1018.26</v>
      </c>
    </row>
    <row r="14" spans="1:4" ht="32.25" thickBot="1">
      <c r="A14" s="21" t="s">
        <v>78</v>
      </c>
      <c r="B14" s="65" t="s">
        <v>381</v>
      </c>
      <c r="C14" s="46">
        <f>ROUND(((596554/364914)+11.52)*1010,2)</f>
        <v>13286.33</v>
      </c>
    </row>
    <row r="15" spans="1:4" ht="16.5" thickBot="1">
      <c r="A15" s="21" t="s">
        <v>79</v>
      </c>
      <c r="B15" s="65" t="s">
        <v>290</v>
      </c>
      <c r="C15" s="27">
        <f>ROUND((452717/364914)*1010,2)</f>
        <v>1253.02</v>
      </c>
    </row>
    <row r="16" spans="1:4" ht="32.25" thickBot="1">
      <c r="A16" s="21" t="s">
        <v>81</v>
      </c>
      <c r="B16" s="65" t="s">
        <v>286</v>
      </c>
      <c r="C16" s="27">
        <f>ROUND((624380/364914)*1010,2)</f>
        <v>1728.14</v>
      </c>
    </row>
    <row r="17" spans="1:3" ht="32.25" thickBot="1">
      <c r="A17" s="21" t="s">
        <v>154</v>
      </c>
      <c r="B17" s="65" t="s">
        <v>287</v>
      </c>
      <c r="C17" s="27">
        <f>ROUNDUP((500471/364914)*1010,1)</f>
        <v>1385.1999999999998</v>
      </c>
    </row>
    <row r="18" spans="1:3" ht="32.25" thickBot="1">
      <c r="A18" s="21" t="s">
        <v>80</v>
      </c>
      <c r="B18" s="65" t="s">
        <v>291</v>
      </c>
      <c r="C18" s="27">
        <f>ROUND(((15/100)*34*1.06)*1010,2)</f>
        <v>5460.06</v>
      </c>
    </row>
    <row r="19" spans="1:3" ht="16.5" thickBot="1">
      <c r="A19" s="21"/>
      <c r="B19" s="66" t="s">
        <v>64</v>
      </c>
      <c r="C19" s="26">
        <f>SUM(C9:C18)</f>
        <v>85818.87999999999</v>
      </c>
    </row>
    <row r="20" spans="1:3" ht="16.5" thickBot="1">
      <c r="A20" s="21"/>
      <c r="B20" s="66" t="s">
        <v>65</v>
      </c>
      <c r="C20" s="27"/>
    </row>
    <row r="21" spans="1:3" ht="24" customHeight="1" thickBot="1">
      <c r="A21" s="21" t="s">
        <v>83</v>
      </c>
      <c r="B21" s="28" t="s">
        <v>147</v>
      </c>
      <c r="C21" s="27">
        <f>ROUND((C9+C10+C11)*0.25,2)</f>
        <v>12428.05</v>
      </c>
    </row>
    <row r="22" spans="1:3" ht="27" customHeight="1" thickBot="1">
      <c r="A22" s="21" t="s">
        <v>75</v>
      </c>
      <c r="B22" s="24" t="s">
        <v>73</v>
      </c>
      <c r="C22" s="27">
        <f>ROUND(C21*0.2409,2)</f>
        <v>2993.92</v>
      </c>
    </row>
    <row r="23" spans="1:3" ht="32.25" thickBot="1">
      <c r="A23" s="21" t="s">
        <v>87</v>
      </c>
      <c r="B23" s="67" t="s">
        <v>292</v>
      </c>
      <c r="C23" s="27">
        <f>ROUND((39708/364914)*1010,2)</f>
        <v>109.9</v>
      </c>
    </row>
    <row r="24" spans="1:3" ht="32.25" thickBot="1">
      <c r="A24" s="21" t="s">
        <v>84</v>
      </c>
      <c r="B24" s="65" t="s">
        <v>293</v>
      </c>
      <c r="C24" s="27">
        <f>ROUND((813902/364914)*1010,2)</f>
        <v>2252.6999999999998</v>
      </c>
    </row>
    <row r="25" spans="1:3" ht="32.25" thickBot="1">
      <c r="A25" s="21" t="s">
        <v>85</v>
      </c>
      <c r="B25" s="67" t="s">
        <v>302</v>
      </c>
      <c r="C25" s="27">
        <f>ROUND((234731/364914)*1010,2)</f>
        <v>649.67999999999995</v>
      </c>
    </row>
    <row r="26" spans="1:3" ht="32.25" thickBot="1">
      <c r="A26" s="21" t="s">
        <v>81</v>
      </c>
      <c r="B26" s="68" t="s">
        <v>285</v>
      </c>
      <c r="C26" s="27">
        <f>ROUND((561364/364914)*1010,2)</f>
        <v>1553.73</v>
      </c>
    </row>
    <row r="27" spans="1:3" ht="32.25" thickBot="1">
      <c r="A27" s="21" t="s">
        <v>77</v>
      </c>
      <c r="B27" s="65" t="s">
        <v>295</v>
      </c>
      <c r="C27" s="27">
        <f>ROUND((627676/364914)*1010,2)</f>
        <v>1737.27</v>
      </c>
    </row>
    <row r="28" spans="1:3" ht="33" customHeight="1" thickBot="1">
      <c r="A28" s="21" t="s">
        <v>133</v>
      </c>
      <c r="B28" s="65" t="s">
        <v>296</v>
      </c>
      <c r="C28" s="27">
        <f>ROUND((286606/364914)*1010,2)</f>
        <v>793.26</v>
      </c>
    </row>
    <row r="29" spans="1:3" ht="38.25" customHeight="1" thickBot="1">
      <c r="A29" s="21" t="s">
        <v>131</v>
      </c>
      <c r="B29" s="65" t="s">
        <v>297</v>
      </c>
      <c r="C29" s="27">
        <f>ROUND((157571/364914)*1010,2)</f>
        <v>436.12</v>
      </c>
    </row>
    <row r="30" spans="1:3" ht="32.25" thickBot="1">
      <c r="A30" s="21" t="s">
        <v>86</v>
      </c>
      <c r="B30" s="65" t="s">
        <v>298</v>
      </c>
      <c r="C30" s="27">
        <f>ROUND((46423/364914)*1010,2)</f>
        <v>128.49</v>
      </c>
    </row>
    <row r="31" spans="1:3" ht="16.5" thickBot="1">
      <c r="A31" s="21" t="s">
        <v>149</v>
      </c>
      <c r="B31" s="106" t="s">
        <v>307</v>
      </c>
      <c r="C31" s="46">
        <f>ROUND((C19*0.05%)*1010,2)</f>
        <v>43338.53</v>
      </c>
    </row>
    <row r="32" spans="1:3" ht="32.25" thickBot="1">
      <c r="A32" s="21" t="s">
        <v>82</v>
      </c>
      <c r="B32" s="65" t="s">
        <v>354</v>
      </c>
      <c r="C32" s="27">
        <f>ROUNDUP((42368/364914)*1010,2)</f>
        <v>117.27000000000001</v>
      </c>
    </row>
    <row r="33" spans="1:5" ht="32.25" thickBot="1">
      <c r="A33" s="21" t="s">
        <v>155</v>
      </c>
      <c r="B33" s="65" t="s">
        <v>363</v>
      </c>
      <c r="C33" s="27">
        <f>ROUND(1.12*1010+4.14*1010,2)</f>
        <v>5312.6</v>
      </c>
      <c r="E33" s="9"/>
    </row>
    <row r="34" spans="1:5" ht="16.5" thickBot="1">
      <c r="A34" s="21"/>
      <c r="B34" s="22" t="s">
        <v>66</v>
      </c>
      <c r="C34" s="26">
        <f>SUM(C21:C33)</f>
        <v>71851.520000000004</v>
      </c>
    </row>
    <row r="35" spans="1:5" ht="16.5" thickBot="1">
      <c r="A35" s="21"/>
      <c r="B35" s="31" t="s">
        <v>67</v>
      </c>
      <c r="C35" s="26">
        <f>C34+C19</f>
        <v>157670.39999999999</v>
      </c>
    </row>
    <row r="36" spans="1:5">
      <c r="C36" s="9"/>
    </row>
    <row r="37" spans="1:5" ht="16.5" thickBot="1">
      <c r="C37" s="9"/>
    </row>
    <row r="38" spans="1:5" ht="16.5" thickBot="1">
      <c r="A38" s="130" t="s">
        <v>68</v>
      </c>
      <c r="B38" s="131"/>
      <c r="C38" s="32">
        <v>1010</v>
      </c>
    </row>
    <row r="39" spans="1:5" ht="16.5" thickBot="1">
      <c r="A39" s="130" t="s">
        <v>69</v>
      </c>
      <c r="B39" s="131"/>
      <c r="C39" s="33">
        <f>ROUND(C35/C38,2)</f>
        <v>156.11000000000001</v>
      </c>
    </row>
    <row r="41" spans="1:5">
      <c r="A41" s="13"/>
      <c r="B41" s="13"/>
      <c r="C41" s="13"/>
      <c r="D41" s="13"/>
    </row>
    <row r="42" spans="1:5">
      <c r="A42" s="132"/>
      <c r="B42" s="132"/>
      <c r="C42" s="44"/>
      <c r="D42" s="13"/>
    </row>
    <row r="43" spans="1:5" ht="18.75" hidden="1">
      <c r="A43" s="133"/>
      <c r="B43" s="133"/>
      <c r="C43" s="34"/>
      <c r="D43" s="34"/>
    </row>
    <row r="44" spans="1:5">
      <c r="C44" s="9"/>
    </row>
    <row r="45" spans="1:5">
      <c r="C45" s="9"/>
    </row>
    <row r="46" spans="1:5">
      <c r="C46" s="9"/>
    </row>
  </sheetData>
  <mergeCells count="10">
    <mergeCell ref="A38:B38"/>
    <mergeCell ref="A39:B39"/>
    <mergeCell ref="A42:B42"/>
    <mergeCell ref="A43:B43"/>
    <mergeCell ref="A1:C1"/>
    <mergeCell ref="A3:C3"/>
    <mergeCell ref="A4:C4"/>
    <mergeCell ref="A5:C5"/>
    <mergeCell ref="A6:B6"/>
    <mergeCell ref="A9:A11"/>
  </mergeCells>
  <pageMargins left="0.70866141732283472" right="0.70866141732283472" top="0.74803149606299213" bottom="0.74803149606299213" header="0.31496062992125984" footer="0.31496062992125984"/>
  <pageSetup paperSize="9"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G37"/>
  <sheetViews>
    <sheetView zoomScale="80" zoomScaleNormal="80" workbookViewId="0">
      <selection activeCell="C35" sqref="C35"/>
    </sheetView>
  </sheetViews>
  <sheetFormatPr defaultColWidth="8.85546875" defaultRowHeight="15.75"/>
  <cols>
    <col min="1" max="1" width="16.28515625" style="1" customWidth="1"/>
    <col min="2" max="2" width="98.28515625" style="1" customWidth="1"/>
    <col min="3" max="3" width="19.85546875" style="1" customWidth="1"/>
    <col min="4" max="4" width="9.42578125" style="1" customWidth="1"/>
    <col min="5" max="16384" width="8.85546875" style="1"/>
  </cols>
  <sheetData>
    <row r="1" spans="1:5">
      <c r="A1" s="121" t="s">
        <v>58</v>
      </c>
      <c r="B1" s="121"/>
      <c r="C1" s="121"/>
      <c r="D1" s="18"/>
      <c r="E1" s="18"/>
    </row>
    <row r="3" spans="1:5">
      <c r="A3" s="134" t="s">
        <v>70</v>
      </c>
      <c r="B3" s="134"/>
      <c r="C3" s="134"/>
    </row>
    <row r="4" spans="1:5">
      <c r="A4" s="134" t="s">
        <v>124</v>
      </c>
      <c r="B4" s="134"/>
      <c r="C4" s="134"/>
    </row>
    <row r="5" spans="1:5">
      <c r="A5" s="134" t="s">
        <v>59</v>
      </c>
      <c r="B5" s="134"/>
      <c r="C5" s="134"/>
    </row>
    <row r="6" spans="1:5" ht="16.5" thickBot="1">
      <c r="A6" s="135" t="s">
        <v>125</v>
      </c>
      <c r="B6" s="135"/>
    </row>
    <row r="7" spans="1:5" ht="79.5" thickBot="1">
      <c r="A7" s="19" t="s">
        <v>60</v>
      </c>
      <c r="B7" s="20" t="s">
        <v>61</v>
      </c>
      <c r="C7" s="20" t="s">
        <v>62</v>
      </c>
    </row>
    <row r="8" spans="1:5" ht="16.5" thickBot="1">
      <c r="A8" s="35"/>
      <c r="B8" s="36" t="s">
        <v>63</v>
      </c>
      <c r="C8" s="37"/>
      <c r="D8" s="95"/>
      <c r="E8" s="95"/>
    </row>
    <row r="9" spans="1:5">
      <c r="A9" s="38" t="s">
        <v>74</v>
      </c>
      <c r="B9" s="39" t="s">
        <v>123</v>
      </c>
      <c r="C9" s="43">
        <f>ROUND(23.86*270,2)</f>
        <v>6442.2</v>
      </c>
      <c r="D9" s="94"/>
      <c r="E9" s="95"/>
    </row>
    <row r="10" spans="1:5" ht="32.25" thickBot="1">
      <c r="A10" s="21" t="s">
        <v>75</v>
      </c>
      <c r="B10" s="65" t="s">
        <v>73</v>
      </c>
      <c r="C10" s="27">
        <f>ROUND(C9*0.2409,2)</f>
        <v>1551.93</v>
      </c>
    </row>
    <row r="11" spans="1:5" ht="32.25" thickBot="1">
      <c r="A11" s="21" t="s">
        <v>76</v>
      </c>
      <c r="B11" s="24" t="s">
        <v>284</v>
      </c>
      <c r="C11" s="27">
        <f>ROUND((367899/364914)*270,2)</f>
        <v>272.20999999999998</v>
      </c>
    </row>
    <row r="12" spans="1:5" ht="32.25" thickBot="1">
      <c r="A12" s="21" t="s">
        <v>78</v>
      </c>
      <c r="B12" s="24" t="s">
        <v>347</v>
      </c>
      <c r="C12" s="46">
        <f>ROUND(((596554/364914)+9.22)*270,2)</f>
        <v>2930.79</v>
      </c>
    </row>
    <row r="13" spans="1:5" ht="32.25" thickBot="1">
      <c r="A13" s="21" t="s">
        <v>79</v>
      </c>
      <c r="B13" s="65" t="s">
        <v>290</v>
      </c>
      <c r="C13" s="27">
        <f>ROUND((452717/364914)*270,2)</f>
        <v>334.97</v>
      </c>
    </row>
    <row r="14" spans="1:5" ht="16.5" thickBot="1">
      <c r="A14" s="21"/>
      <c r="B14" s="25" t="s">
        <v>64</v>
      </c>
      <c r="C14" s="26">
        <f>SUM(C9:C13)</f>
        <v>11532.1</v>
      </c>
    </row>
    <row r="15" spans="1:5" ht="16.5" thickBot="1">
      <c r="A15" s="21"/>
      <c r="B15" s="25" t="s">
        <v>65</v>
      </c>
      <c r="C15" s="27"/>
    </row>
    <row r="16" spans="1:5" ht="32.25" thickBot="1">
      <c r="A16" s="21" t="s">
        <v>83</v>
      </c>
      <c r="B16" s="28" t="s">
        <v>146</v>
      </c>
      <c r="C16" s="27">
        <f>ROUND(C9*0.15,2)</f>
        <v>966.33</v>
      </c>
    </row>
    <row r="17" spans="1:7" ht="32.25" thickBot="1">
      <c r="A17" s="21" t="s">
        <v>75</v>
      </c>
      <c r="B17" s="65" t="s">
        <v>73</v>
      </c>
      <c r="C17" s="27">
        <f>ROUND(C16*0.2409,2)</f>
        <v>232.79</v>
      </c>
    </row>
    <row r="18" spans="1:7" ht="32.25" thickBot="1">
      <c r="A18" s="21" t="s">
        <v>87</v>
      </c>
      <c r="B18" s="23" t="s">
        <v>292</v>
      </c>
      <c r="C18" s="27">
        <f>ROUND((39708/364914)*270,2)</f>
        <v>29.38</v>
      </c>
      <c r="E18" s="30"/>
    </row>
    <row r="19" spans="1:7" ht="32.25" thickBot="1">
      <c r="A19" s="21" t="s">
        <v>84</v>
      </c>
      <c r="B19" s="24" t="s">
        <v>346</v>
      </c>
      <c r="C19" s="27">
        <f>ROUND((813902/364914)*270,2)</f>
        <v>602.21</v>
      </c>
    </row>
    <row r="20" spans="1:7" ht="32.25" thickBot="1">
      <c r="A20" s="21" t="s">
        <v>85</v>
      </c>
      <c r="B20" s="67" t="s">
        <v>294</v>
      </c>
      <c r="C20" s="27">
        <f>ROUND(0.64*270,2)</f>
        <v>172.8</v>
      </c>
    </row>
    <row r="21" spans="1:7" ht="32.25" thickBot="1">
      <c r="A21" s="21" t="s">
        <v>81</v>
      </c>
      <c r="B21" s="29" t="s">
        <v>303</v>
      </c>
      <c r="C21" s="27">
        <f>ROUND((561364/364914)*270,2)</f>
        <v>415.35</v>
      </c>
    </row>
    <row r="22" spans="1:7" ht="32.25" thickBot="1">
      <c r="A22" s="21" t="s">
        <v>77</v>
      </c>
      <c r="B22" s="65" t="s">
        <v>295</v>
      </c>
      <c r="C22" s="27">
        <f>ROUND((627676/364914)*270,2)</f>
        <v>464.42</v>
      </c>
    </row>
    <row r="23" spans="1:7" ht="32.25" thickBot="1">
      <c r="A23" s="21" t="s">
        <v>133</v>
      </c>
      <c r="B23" s="65" t="s">
        <v>319</v>
      </c>
      <c r="C23" s="27">
        <f>ROUND((286606/364914)*270,2)</f>
        <v>212.06</v>
      </c>
    </row>
    <row r="24" spans="1:7" ht="32.25" thickBot="1">
      <c r="A24" s="21" t="s">
        <v>131</v>
      </c>
      <c r="B24" s="24" t="s">
        <v>305</v>
      </c>
      <c r="C24" s="27">
        <f>ROUND((157571/364914)*270,2)</f>
        <v>116.59</v>
      </c>
    </row>
    <row r="25" spans="1:7" ht="32.25" thickBot="1">
      <c r="A25" s="21" t="s">
        <v>86</v>
      </c>
      <c r="B25" s="24" t="s">
        <v>298</v>
      </c>
      <c r="C25" s="27">
        <f>ROUND((46423/364914)*270,2)</f>
        <v>34.35</v>
      </c>
    </row>
    <row r="26" spans="1:7" ht="32.25" thickBot="1">
      <c r="A26" s="21" t="s">
        <v>82</v>
      </c>
      <c r="B26" s="65" t="s">
        <v>354</v>
      </c>
      <c r="C26" s="27">
        <f>ROUND(0.12*270,2)</f>
        <v>32.4</v>
      </c>
    </row>
    <row r="27" spans="1:7" ht="16.5" thickBot="1">
      <c r="A27" s="21" t="s">
        <v>155</v>
      </c>
      <c r="B27" s="24" t="s">
        <v>156</v>
      </c>
      <c r="C27" s="27">
        <f>ROUND(1.8*270,2)</f>
        <v>486</v>
      </c>
      <c r="G27" s="9"/>
    </row>
    <row r="28" spans="1:7" ht="16.5" thickBot="1">
      <c r="A28" s="21"/>
      <c r="B28" s="22" t="s">
        <v>66</v>
      </c>
      <c r="C28" s="26">
        <f>SUM(C16:C27)</f>
        <v>3764.6800000000003</v>
      </c>
    </row>
    <row r="29" spans="1:7" ht="16.5" thickBot="1">
      <c r="A29" s="21"/>
      <c r="B29" s="31" t="s">
        <v>67</v>
      </c>
      <c r="C29" s="26">
        <f>C28+C14</f>
        <v>15296.78</v>
      </c>
    </row>
    <row r="30" spans="1:7">
      <c r="C30" s="9"/>
    </row>
    <row r="31" spans="1:7" ht="16.5" thickBot="1">
      <c r="C31" s="9"/>
    </row>
    <row r="32" spans="1:7" ht="16.5" thickBot="1">
      <c r="A32" s="130" t="s">
        <v>68</v>
      </c>
      <c r="B32" s="131"/>
      <c r="C32" s="32">
        <v>270</v>
      </c>
    </row>
    <row r="33" spans="1:6" ht="16.5" thickBot="1">
      <c r="A33" s="130" t="s">
        <v>69</v>
      </c>
      <c r="B33" s="131"/>
      <c r="C33" s="33">
        <f>ROUND(C29/C32,2)</f>
        <v>56.65</v>
      </c>
    </row>
    <row r="35" spans="1:6">
      <c r="A35" s="13"/>
      <c r="B35" s="13"/>
      <c r="C35" s="45"/>
      <c r="D35" s="13"/>
      <c r="E35" s="13"/>
      <c r="F35" s="13"/>
    </row>
    <row r="36" spans="1:6">
      <c r="A36" s="132"/>
      <c r="B36" s="132"/>
      <c r="C36" s="13"/>
      <c r="D36" s="13"/>
      <c r="E36" s="13"/>
      <c r="F36" s="13"/>
    </row>
    <row r="37" spans="1:6" ht="18.75">
      <c r="A37" s="133"/>
      <c r="B37" s="133"/>
      <c r="C37" s="34"/>
      <c r="D37" s="34"/>
      <c r="E37" s="13"/>
      <c r="F37" s="13"/>
    </row>
  </sheetData>
  <mergeCells count="9">
    <mergeCell ref="A32:B32"/>
    <mergeCell ref="A33:B33"/>
    <mergeCell ref="A36:B36"/>
    <mergeCell ref="A37:B37"/>
    <mergeCell ref="A1:C1"/>
    <mergeCell ref="A3:C3"/>
    <mergeCell ref="A4:C4"/>
    <mergeCell ref="A5:C5"/>
    <mergeCell ref="A6:B6"/>
  </mergeCells>
  <pageMargins left="0.7" right="0.7" top="0.75" bottom="0.75" header="0.3" footer="0.3"/>
  <pageSetup paperSize="9" scale="6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G42"/>
  <sheetViews>
    <sheetView zoomScale="80" zoomScaleNormal="80" workbookViewId="0">
      <selection activeCell="C40" sqref="C40"/>
    </sheetView>
  </sheetViews>
  <sheetFormatPr defaultColWidth="8.85546875" defaultRowHeight="15.75"/>
  <cols>
    <col min="1" max="1" width="14.5703125" style="1" customWidth="1"/>
    <col min="2" max="2" width="95.140625" style="1" customWidth="1"/>
    <col min="3" max="3" width="19.85546875" style="1" customWidth="1"/>
    <col min="4" max="4" width="9" style="1" customWidth="1"/>
    <col min="5" max="16384" width="8.85546875" style="1"/>
  </cols>
  <sheetData>
    <row r="1" spans="1:5">
      <c r="A1" s="121" t="s">
        <v>58</v>
      </c>
      <c r="B1" s="121"/>
      <c r="C1" s="121"/>
      <c r="D1" s="18"/>
      <c r="E1" s="18"/>
    </row>
    <row r="3" spans="1:5">
      <c r="A3" s="134" t="s">
        <v>70</v>
      </c>
      <c r="B3" s="134"/>
      <c r="C3" s="134"/>
    </row>
    <row r="4" spans="1:5" ht="32.25" customHeight="1">
      <c r="A4" s="134" t="s">
        <v>105</v>
      </c>
      <c r="B4" s="134"/>
      <c r="C4" s="134"/>
    </row>
    <row r="5" spans="1:5">
      <c r="A5" s="134" t="s">
        <v>59</v>
      </c>
      <c r="B5" s="134"/>
      <c r="C5" s="134"/>
    </row>
    <row r="6" spans="1:5" ht="16.5" thickBot="1">
      <c r="A6" s="135" t="s">
        <v>126</v>
      </c>
      <c r="B6" s="135"/>
    </row>
    <row r="7" spans="1:5" ht="79.5" thickBot="1">
      <c r="A7" s="19" t="s">
        <v>60</v>
      </c>
      <c r="B7" s="20" t="s">
        <v>61</v>
      </c>
      <c r="C7" s="20" t="s">
        <v>62</v>
      </c>
    </row>
    <row r="8" spans="1:5" ht="16.5" thickBot="1">
      <c r="A8" s="35"/>
      <c r="B8" s="36" t="s">
        <v>63</v>
      </c>
      <c r="C8" s="37"/>
      <c r="D8" s="95"/>
      <c r="E8" s="95"/>
    </row>
    <row r="9" spans="1:5">
      <c r="A9" s="136" t="s">
        <v>74</v>
      </c>
      <c r="B9" s="39" t="s">
        <v>113</v>
      </c>
      <c r="C9" s="43">
        <f>ROUND(13.56*8,2)</f>
        <v>108.48</v>
      </c>
      <c r="D9" s="94"/>
      <c r="E9" s="95"/>
    </row>
    <row r="10" spans="1:5">
      <c r="A10" s="137"/>
      <c r="B10" s="40" t="s">
        <v>300</v>
      </c>
      <c r="C10" s="104">
        <f>ROUND(8.98*8,2)</f>
        <v>71.84</v>
      </c>
      <c r="D10" s="95"/>
      <c r="E10" s="95"/>
    </row>
    <row r="11" spans="1:5" ht="16.5" thickBot="1">
      <c r="A11" s="138"/>
      <c r="B11" s="41" t="s">
        <v>350</v>
      </c>
      <c r="C11" s="105">
        <f>ROUND(6.73*8,2)</f>
        <v>53.84</v>
      </c>
      <c r="D11" s="95"/>
      <c r="E11" s="94"/>
    </row>
    <row r="12" spans="1:5" ht="38.25" customHeight="1" thickBot="1">
      <c r="A12" s="21" t="s">
        <v>75</v>
      </c>
      <c r="B12" s="24" t="s">
        <v>73</v>
      </c>
      <c r="C12" s="27">
        <f>ROUND((C9+C10+C11)*0.2409,2)</f>
        <v>56.41</v>
      </c>
    </row>
    <row r="13" spans="1:5" ht="32.25" thickBot="1">
      <c r="A13" s="21" t="s">
        <v>76</v>
      </c>
      <c r="B13" s="24" t="s">
        <v>284</v>
      </c>
      <c r="C13" s="27">
        <f>ROUND(1.01*8,2)</f>
        <v>8.08</v>
      </c>
    </row>
    <row r="14" spans="1:5" ht="32.25" thickBot="1">
      <c r="A14" s="21" t="s">
        <v>78</v>
      </c>
      <c r="B14" s="24" t="s">
        <v>351</v>
      </c>
      <c r="C14" s="46">
        <f>ROUND((1.63+6.91)*8,2)</f>
        <v>68.319999999999993</v>
      </c>
    </row>
    <row r="15" spans="1:5" ht="32.25" thickBot="1">
      <c r="A15" s="21" t="s">
        <v>79</v>
      </c>
      <c r="B15" s="65" t="s">
        <v>290</v>
      </c>
      <c r="C15" s="27">
        <f>ROUND(1.24*8,2)</f>
        <v>9.92</v>
      </c>
    </row>
    <row r="16" spans="1:5" ht="36" customHeight="1" thickBot="1">
      <c r="A16" s="21" t="s">
        <v>81</v>
      </c>
      <c r="B16" s="24" t="s">
        <v>286</v>
      </c>
      <c r="C16" s="27">
        <f>ROUND(1.71*8,2)</f>
        <v>13.68</v>
      </c>
    </row>
    <row r="17" spans="1:7" ht="38.25" customHeight="1" thickBot="1">
      <c r="A17" s="21" t="s">
        <v>154</v>
      </c>
      <c r="B17" s="24" t="s">
        <v>287</v>
      </c>
      <c r="C17" s="27">
        <f>ROUND(1.37*8,2)</f>
        <v>10.96</v>
      </c>
    </row>
    <row r="18" spans="1:7" ht="32.25" thickBot="1">
      <c r="A18" s="21" t="s">
        <v>80</v>
      </c>
      <c r="B18" s="24" t="s">
        <v>288</v>
      </c>
      <c r="C18" s="27">
        <f>ROUND(5.41*8,2)</f>
        <v>43.28</v>
      </c>
    </row>
    <row r="19" spans="1:7" ht="16.5" thickBot="1">
      <c r="A19" s="21"/>
      <c r="B19" s="25" t="s">
        <v>64</v>
      </c>
      <c r="C19" s="26">
        <f>SUM(C9:C18)</f>
        <v>444.80999999999995</v>
      </c>
    </row>
    <row r="20" spans="1:7" ht="16.5" thickBot="1">
      <c r="A20" s="21"/>
      <c r="B20" s="25" t="s">
        <v>65</v>
      </c>
      <c r="C20" s="27"/>
    </row>
    <row r="21" spans="1:7" ht="32.25" thickBot="1">
      <c r="A21" s="21" t="s">
        <v>83</v>
      </c>
      <c r="B21" s="28" t="s">
        <v>147</v>
      </c>
      <c r="C21" s="27">
        <f>ROUND((C9+C10+C11)*0.25,2)</f>
        <v>58.54</v>
      </c>
    </row>
    <row r="22" spans="1:7" ht="32.25" thickBot="1">
      <c r="A22" s="21" t="s">
        <v>75</v>
      </c>
      <c r="B22" s="65" t="s">
        <v>73</v>
      </c>
      <c r="C22" s="27">
        <f>ROUND(C21*0.2409,2)</f>
        <v>14.1</v>
      </c>
    </row>
    <row r="23" spans="1:7" ht="34.5" customHeight="1" thickBot="1">
      <c r="A23" s="21" t="s">
        <v>87</v>
      </c>
      <c r="B23" s="23" t="s">
        <v>292</v>
      </c>
      <c r="C23" s="27">
        <f>ROUND(0.11*8,2)</f>
        <v>0.88</v>
      </c>
      <c r="E23" s="30"/>
    </row>
    <row r="24" spans="1:7" ht="32.25" thickBot="1">
      <c r="A24" s="21" t="s">
        <v>84</v>
      </c>
      <c r="B24" s="24" t="s">
        <v>293</v>
      </c>
      <c r="C24" s="27">
        <f>ROUND(2.23*8,2)</f>
        <v>17.84</v>
      </c>
    </row>
    <row r="25" spans="1:7" ht="36" customHeight="1" thickBot="1">
      <c r="A25" s="21" t="s">
        <v>85</v>
      </c>
      <c r="B25" s="67" t="s">
        <v>294</v>
      </c>
      <c r="C25" s="27">
        <f>ROUND((234731/364914)*8,2)</f>
        <v>5.15</v>
      </c>
    </row>
    <row r="26" spans="1:7" ht="32.25" thickBot="1">
      <c r="A26" s="21" t="s">
        <v>81</v>
      </c>
      <c r="B26" s="29" t="s">
        <v>303</v>
      </c>
      <c r="C26" s="27">
        <f>ROUND((561364/364914)*8,2)</f>
        <v>12.31</v>
      </c>
    </row>
    <row r="27" spans="1:7" ht="32.25" thickBot="1">
      <c r="A27" s="21" t="s">
        <v>77</v>
      </c>
      <c r="B27" s="65" t="s">
        <v>295</v>
      </c>
      <c r="C27" s="27">
        <f>ROUND((627676/364914)*8,2)</f>
        <v>13.76</v>
      </c>
    </row>
    <row r="28" spans="1:7" ht="32.25" thickBot="1">
      <c r="A28" s="21" t="s">
        <v>133</v>
      </c>
      <c r="B28" s="65" t="s">
        <v>352</v>
      </c>
      <c r="C28" s="27">
        <f>ROUND(0.79*8,2)</f>
        <v>6.32</v>
      </c>
    </row>
    <row r="29" spans="1:7" ht="38.25" customHeight="1" thickBot="1">
      <c r="A29" s="21" t="s">
        <v>131</v>
      </c>
      <c r="B29" s="24" t="s">
        <v>297</v>
      </c>
      <c r="C29" s="27">
        <f>ROUND((157571/364914)*8,2)</f>
        <v>3.45</v>
      </c>
    </row>
    <row r="30" spans="1:7" ht="32.25" thickBot="1">
      <c r="A30" s="21" t="s">
        <v>86</v>
      </c>
      <c r="B30" s="24" t="s">
        <v>313</v>
      </c>
      <c r="C30" s="27">
        <f>ROUND((46423/364914)*8,2)</f>
        <v>1.02</v>
      </c>
    </row>
    <row r="31" spans="1:7" ht="32.25" thickBot="1">
      <c r="A31" s="21" t="s">
        <v>82</v>
      </c>
      <c r="B31" s="65" t="s">
        <v>354</v>
      </c>
      <c r="C31" s="27">
        <f>ROUND(0.12*8,2)</f>
        <v>0.96</v>
      </c>
    </row>
    <row r="32" spans="1:7" ht="48" thickBot="1">
      <c r="A32" s="21" t="s">
        <v>155</v>
      </c>
      <c r="B32" s="65" t="s">
        <v>363</v>
      </c>
      <c r="C32" s="27">
        <f>ROUND(1.12*8+4.14*8,2)</f>
        <v>42.08</v>
      </c>
      <c r="G32" s="9"/>
    </row>
    <row r="33" spans="1:6" ht="16.5" thickBot="1">
      <c r="A33" s="21"/>
      <c r="B33" s="22" t="s">
        <v>66</v>
      </c>
      <c r="C33" s="26">
        <f>SUM(C21:C32)</f>
        <v>176.41000000000003</v>
      </c>
    </row>
    <row r="34" spans="1:6" ht="16.5" thickBot="1">
      <c r="A34" s="21"/>
      <c r="B34" s="31" t="s">
        <v>67</v>
      </c>
      <c r="C34" s="26">
        <f>C33+C19</f>
        <v>621.22</v>
      </c>
    </row>
    <row r="35" spans="1:6">
      <c r="C35" s="9"/>
    </row>
    <row r="36" spans="1:6" ht="16.5" thickBot="1">
      <c r="C36" s="9"/>
    </row>
    <row r="37" spans="1:6" ht="16.5" thickBot="1">
      <c r="A37" s="130" t="s">
        <v>68</v>
      </c>
      <c r="B37" s="131"/>
      <c r="C37" s="32">
        <v>8</v>
      </c>
    </row>
    <row r="38" spans="1:6" ht="16.5" thickBot="1">
      <c r="A38" s="130" t="s">
        <v>69</v>
      </c>
      <c r="B38" s="131"/>
      <c r="C38" s="33">
        <f>ROUND(C34/C37,2)</f>
        <v>77.650000000000006</v>
      </c>
    </row>
    <row r="40" spans="1:6">
      <c r="A40" s="13"/>
      <c r="B40" s="13"/>
      <c r="C40" s="45"/>
      <c r="D40" s="13"/>
      <c r="E40" s="13"/>
      <c r="F40" s="13"/>
    </row>
    <row r="41" spans="1:6">
      <c r="A41" s="132"/>
      <c r="B41" s="132"/>
      <c r="C41" s="13"/>
      <c r="D41" s="13"/>
      <c r="E41" s="13"/>
      <c r="F41" s="13"/>
    </row>
    <row r="42" spans="1:6" ht="18.75">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F23"/>
  <sheetViews>
    <sheetView zoomScale="80" zoomScaleNormal="80" workbookViewId="0">
      <selection activeCell="C21" sqref="C21"/>
    </sheetView>
  </sheetViews>
  <sheetFormatPr defaultColWidth="8.85546875" defaultRowHeight="15.75"/>
  <cols>
    <col min="1" max="1" width="16" style="1" customWidth="1"/>
    <col min="2" max="2" width="86" style="1" customWidth="1"/>
    <col min="3" max="3" width="19.85546875" style="1" customWidth="1"/>
    <col min="4" max="4" width="7" style="1" customWidth="1"/>
    <col min="5" max="5" width="7.85546875" style="1" customWidth="1"/>
    <col min="6" max="16384" width="8.85546875" style="1"/>
  </cols>
  <sheetData>
    <row r="1" spans="1:5">
      <c r="A1" s="121" t="s">
        <v>58</v>
      </c>
      <c r="B1" s="121"/>
      <c r="C1" s="121"/>
      <c r="D1" s="18"/>
      <c r="E1" s="18"/>
    </row>
    <row r="3" spans="1:5">
      <c r="A3" s="134" t="s">
        <v>70</v>
      </c>
      <c r="B3" s="134"/>
      <c r="C3" s="134"/>
    </row>
    <row r="4" spans="1:5">
      <c r="A4" s="134" t="s">
        <v>181</v>
      </c>
      <c r="B4" s="134"/>
      <c r="C4" s="134"/>
    </row>
    <row r="5" spans="1:5">
      <c r="A5" s="134" t="s">
        <v>59</v>
      </c>
      <c r="B5" s="134"/>
      <c r="C5" s="134"/>
    </row>
    <row r="6" spans="1:5" ht="16.5" thickBot="1">
      <c r="A6" s="135" t="s">
        <v>127</v>
      </c>
      <c r="B6" s="135"/>
    </row>
    <row r="7" spans="1:5" ht="92.25" customHeight="1" thickBot="1">
      <c r="A7" s="19" t="s">
        <v>60</v>
      </c>
      <c r="B7" s="20" t="s">
        <v>61</v>
      </c>
      <c r="C7" s="20" t="s">
        <v>62</v>
      </c>
    </row>
    <row r="8" spans="1:5" ht="16.5" thickBot="1">
      <c r="A8" s="35"/>
      <c r="B8" s="36" t="s">
        <v>63</v>
      </c>
      <c r="C8" s="37"/>
      <c r="D8" s="95"/>
      <c r="E8" s="95"/>
    </row>
    <row r="9" spans="1:5">
      <c r="A9" s="38" t="s">
        <v>74</v>
      </c>
      <c r="B9" s="39" t="s">
        <v>128</v>
      </c>
      <c r="C9" s="43">
        <f>ROUND(23.86*12,2)</f>
        <v>286.32</v>
      </c>
      <c r="D9" s="94"/>
      <c r="E9" s="95"/>
    </row>
    <row r="10" spans="1:5" ht="32.25" thickBot="1">
      <c r="A10" s="21" t="s">
        <v>75</v>
      </c>
      <c r="B10" s="65" t="s">
        <v>73</v>
      </c>
      <c r="C10" s="27">
        <f>ROUND(C9*0.2409,2)</f>
        <v>68.97</v>
      </c>
    </row>
    <row r="11" spans="1:5" ht="32.25" thickBot="1">
      <c r="A11" s="21" t="s">
        <v>76</v>
      </c>
      <c r="B11" s="65" t="s">
        <v>152</v>
      </c>
      <c r="C11" s="27">
        <f>ROUND(4.32*12,2)</f>
        <v>51.84</v>
      </c>
    </row>
    <row r="12" spans="1:5" ht="16.5" thickBot="1">
      <c r="A12" s="21"/>
      <c r="B12" s="25" t="s">
        <v>64</v>
      </c>
      <c r="C12" s="26">
        <f>SUM(C9:C11)</f>
        <v>407.13</v>
      </c>
    </row>
    <row r="13" spans="1:5" ht="16.5" thickBot="1">
      <c r="A13" s="21"/>
      <c r="B13" s="25" t="s">
        <v>65</v>
      </c>
      <c r="C13" s="27"/>
    </row>
    <row r="14" spans="1:5" ht="16.5" thickBot="1">
      <c r="A14" s="21"/>
      <c r="B14" s="22" t="s">
        <v>66</v>
      </c>
      <c r="C14" s="26">
        <v>0</v>
      </c>
    </row>
    <row r="15" spans="1:5" ht="16.5" thickBot="1">
      <c r="A15" s="21"/>
      <c r="B15" s="31" t="s">
        <v>67</v>
      </c>
      <c r="C15" s="26">
        <f>C14+C12</f>
        <v>407.13</v>
      </c>
    </row>
    <row r="16" spans="1:5">
      <c r="C16" s="9"/>
    </row>
    <row r="17" spans="1:6" ht="16.5" thickBot="1">
      <c r="C17" s="9"/>
    </row>
    <row r="18" spans="1:6" ht="16.5" thickBot="1">
      <c r="A18" s="130" t="s">
        <v>68</v>
      </c>
      <c r="B18" s="131"/>
      <c r="C18" s="32">
        <v>12</v>
      </c>
    </row>
    <row r="19" spans="1:6" ht="16.5" thickBot="1">
      <c r="A19" s="130" t="s">
        <v>69</v>
      </c>
      <c r="B19" s="131"/>
      <c r="C19" s="33">
        <f>ROUND(C15/C18,2)</f>
        <v>33.93</v>
      </c>
    </row>
    <row r="21" spans="1:6">
      <c r="A21" s="13"/>
      <c r="B21" s="13"/>
      <c r="C21" s="45"/>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2"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theme="7" tint="0.39997558519241921"/>
  </sheetPr>
  <dimension ref="A1:F23"/>
  <sheetViews>
    <sheetView zoomScale="80" zoomScaleNormal="80" workbookViewId="0">
      <selection activeCell="B13" sqref="B13"/>
    </sheetView>
  </sheetViews>
  <sheetFormatPr defaultColWidth="8.85546875" defaultRowHeight="15.75"/>
  <cols>
    <col min="1" max="1" width="14.140625" style="1" customWidth="1"/>
    <col min="2" max="2" width="82.5703125" style="1" customWidth="1"/>
    <col min="3" max="3" width="19.85546875" style="1" customWidth="1"/>
    <col min="4" max="4" width="14.85546875" style="1" customWidth="1"/>
    <col min="5" max="16384" width="8.85546875" style="1"/>
  </cols>
  <sheetData>
    <row r="1" spans="1:5">
      <c r="A1" s="121" t="s">
        <v>58</v>
      </c>
      <c r="B1" s="121"/>
      <c r="C1" s="121"/>
      <c r="D1" s="18"/>
      <c r="E1" s="18"/>
    </row>
    <row r="3" spans="1:5">
      <c r="A3" s="134" t="s">
        <v>70</v>
      </c>
      <c r="B3" s="134"/>
      <c r="C3" s="134"/>
    </row>
    <row r="4" spans="1:5" ht="34.5" customHeight="1">
      <c r="A4" s="134" t="s">
        <v>173</v>
      </c>
      <c r="B4" s="134"/>
      <c r="C4" s="134"/>
    </row>
    <row r="5" spans="1:5">
      <c r="A5" s="134" t="s">
        <v>59</v>
      </c>
      <c r="B5" s="134"/>
      <c r="C5" s="134"/>
    </row>
    <row r="6" spans="1:5" ht="16.5" thickBot="1">
      <c r="A6" s="135" t="s">
        <v>129</v>
      </c>
      <c r="B6" s="135"/>
    </row>
    <row r="7" spans="1:5" ht="84.75" customHeight="1" thickBot="1">
      <c r="A7" s="19" t="s">
        <v>60</v>
      </c>
      <c r="B7" s="20" t="s">
        <v>61</v>
      </c>
      <c r="C7" s="20" t="s">
        <v>62</v>
      </c>
    </row>
    <row r="8" spans="1:5" ht="16.5" thickBot="1">
      <c r="A8" s="35"/>
      <c r="B8" s="36" t="s">
        <v>63</v>
      </c>
      <c r="C8" s="37"/>
    </row>
    <row r="9" spans="1:5">
      <c r="A9" s="38" t="s">
        <v>74</v>
      </c>
      <c r="B9" s="39" t="s">
        <v>150</v>
      </c>
      <c r="C9" s="43">
        <f>ROUND(1.35*64,2)</f>
        <v>86.4</v>
      </c>
      <c r="D9" s="9"/>
    </row>
    <row r="10" spans="1:5" ht="32.25" thickBot="1">
      <c r="A10" s="21" t="s">
        <v>75</v>
      </c>
      <c r="B10" s="65" t="s">
        <v>73</v>
      </c>
      <c r="C10" s="27">
        <f>ROUND(C9*0.2409,2)</f>
        <v>20.81</v>
      </c>
    </row>
    <row r="11" spans="1:5" ht="16.5" thickBot="1">
      <c r="A11" s="21"/>
      <c r="B11" s="25" t="s">
        <v>64</v>
      </c>
      <c r="C11" s="26">
        <f>SUM(C9:C10)</f>
        <v>107.21000000000001</v>
      </c>
    </row>
    <row r="12" spans="1:5" ht="16.5" thickBot="1">
      <c r="A12" s="21"/>
      <c r="B12" s="25" t="s">
        <v>65</v>
      </c>
      <c r="C12" s="27"/>
    </row>
    <row r="13" spans="1:5" ht="16.5" thickBot="1">
      <c r="A13" s="21" t="s">
        <v>85</v>
      </c>
      <c r="B13" s="23" t="s">
        <v>386</v>
      </c>
      <c r="C13" s="27">
        <v>7.99</v>
      </c>
    </row>
    <row r="14" spans="1:5" ht="16.5" thickBot="1">
      <c r="A14" s="21"/>
      <c r="B14" s="22" t="s">
        <v>66</v>
      </c>
      <c r="C14" s="26">
        <f>SUM(C13:C13)</f>
        <v>7.99</v>
      </c>
    </row>
    <row r="15" spans="1:5" ht="16.5" thickBot="1">
      <c r="A15" s="21"/>
      <c r="B15" s="31" t="s">
        <v>67</v>
      </c>
      <c r="C15" s="26">
        <f>C14+C11</f>
        <v>115.2</v>
      </c>
    </row>
    <row r="16" spans="1:5">
      <c r="C16" s="9"/>
    </row>
    <row r="17" spans="1:6" ht="16.5" thickBot="1">
      <c r="C17" s="9"/>
    </row>
    <row r="18" spans="1:6" ht="16.5" thickBot="1">
      <c r="A18" s="130" t="s">
        <v>68</v>
      </c>
      <c r="B18" s="131"/>
      <c r="C18" s="32">
        <v>64</v>
      </c>
    </row>
    <row r="19" spans="1:6" ht="16.5" thickBot="1">
      <c r="A19" s="130" t="s">
        <v>69</v>
      </c>
      <c r="B19" s="131"/>
      <c r="C19" s="33">
        <f>C15/C18</f>
        <v>1.8</v>
      </c>
    </row>
    <row r="21" spans="1:6">
      <c r="A21" s="13"/>
      <c r="B21" s="13"/>
      <c r="C21" s="45"/>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tabColor theme="7" tint="0.39997558519241921"/>
  </sheetPr>
  <dimension ref="A1:F23"/>
  <sheetViews>
    <sheetView zoomScale="80" zoomScaleNormal="80" workbookViewId="0">
      <selection activeCell="I9" sqref="I9"/>
    </sheetView>
  </sheetViews>
  <sheetFormatPr defaultColWidth="8.85546875" defaultRowHeight="15.75"/>
  <cols>
    <col min="1" max="1" width="13.42578125" style="1" customWidth="1"/>
    <col min="2" max="2" width="92.140625" style="1" customWidth="1"/>
    <col min="3" max="3" width="19.85546875" style="1" customWidth="1"/>
    <col min="4" max="4" width="14.85546875" style="1" customWidth="1"/>
    <col min="5" max="16384" width="8.85546875" style="1"/>
  </cols>
  <sheetData>
    <row r="1" spans="1:5">
      <c r="A1" s="121" t="s">
        <v>58</v>
      </c>
      <c r="B1" s="121"/>
      <c r="C1" s="121"/>
      <c r="D1" s="18"/>
      <c r="E1" s="18"/>
    </row>
    <row r="3" spans="1:5">
      <c r="A3" s="134" t="s">
        <v>70</v>
      </c>
      <c r="B3" s="134"/>
      <c r="C3" s="134"/>
    </row>
    <row r="4" spans="1:5" ht="34.5" customHeight="1">
      <c r="A4" s="134" t="s">
        <v>174</v>
      </c>
      <c r="B4" s="134"/>
      <c r="C4" s="134"/>
    </row>
    <row r="5" spans="1:5">
      <c r="A5" s="134" t="s">
        <v>59</v>
      </c>
      <c r="B5" s="134"/>
      <c r="C5" s="134"/>
    </row>
    <row r="6" spans="1:5" ht="16.5" thickBot="1">
      <c r="A6" s="135" t="s">
        <v>360</v>
      </c>
      <c r="B6" s="135"/>
    </row>
    <row r="7" spans="1:5" ht="85.5" customHeight="1" thickBot="1">
      <c r="A7" s="19" t="s">
        <v>60</v>
      </c>
      <c r="B7" s="20" t="s">
        <v>61</v>
      </c>
      <c r="C7" s="20" t="s">
        <v>62</v>
      </c>
    </row>
    <row r="8" spans="1:5" ht="16.5" thickBot="1">
      <c r="A8" s="35"/>
      <c r="B8" s="36" t="s">
        <v>63</v>
      </c>
      <c r="C8" s="37"/>
    </row>
    <row r="9" spans="1:5">
      <c r="A9" s="38" t="s">
        <v>74</v>
      </c>
      <c r="B9" s="39" t="s">
        <v>356</v>
      </c>
      <c r="C9" s="43">
        <f>ROUND(2.08*700,2)</f>
        <v>1456</v>
      </c>
      <c r="D9" s="9"/>
    </row>
    <row r="10" spans="1:5" ht="32.25" thickBot="1">
      <c r="A10" s="21" t="s">
        <v>75</v>
      </c>
      <c r="B10" s="65" t="s">
        <v>73</v>
      </c>
      <c r="C10" s="27">
        <f>ROUND(C9*0.2409,2)</f>
        <v>350.75</v>
      </c>
    </row>
    <row r="11" spans="1:5" ht="16.5" thickBot="1">
      <c r="A11" s="21"/>
      <c r="B11" s="25" t="s">
        <v>64</v>
      </c>
      <c r="C11" s="26">
        <f>SUM(C9:C10)</f>
        <v>1806.75</v>
      </c>
    </row>
    <row r="12" spans="1:5" ht="16.5" thickBot="1">
      <c r="A12" s="21"/>
      <c r="B12" s="25" t="s">
        <v>65</v>
      </c>
      <c r="C12" s="27"/>
    </row>
    <row r="13" spans="1:5" ht="16.5" thickBot="1">
      <c r="A13" s="21" t="s">
        <v>85</v>
      </c>
      <c r="B13" s="23" t="s">
        <v>386</v>
      </c>
      <c r="C13" s="27">
        <f>80.02</f>
        <v>80.02</v>
      </c>
    </row>
    <row r="14" spans="1:5" ht="16.5" thickBot="1">
      <c r="A14" s="21"/>
      <c r="B14" s="22" t="s">
        <v>66</v>
      </c>
      <c r="C14" s="26">
        <f>SUM(C13:C13)</f>
        <v>80.02</v>
      </c>
    </row>
    <row r="15" spans="1:5" ht="16.5" thickBot="1">
      <c r="A15" s="21"/>
      <c r="B15" s="31" t="s">
        <v>67</v>
      </c>
      <c r="C15" s="26">
        <f>C14+C11</f>
        <v>1886.77</v>
      </c>
    </row>
    <row r="16" spans="1:5">
      <c r="C16" s="9"/>
    </row>
    <row r="17" spans="1:6" ht="16.5" thickBot="1">
      <c r="C17" s="9"/>
    </row>
    <row r="18" spans="1:6" ht="16.5" thickBot="1">
      <c r="A18" s="130" t="s">
        <v>68</v>
      </c>
      <c r="B18" s="131"/>
      <c r="C18" s="32">
        <v>700</v>
      </c>
    </row>
    <row r="19" spans="1:6" ht="16.5" thickBot="1">
      <c r="A19" s="130" t="s">
        <v>69</v>
      </c>
      <c r="B19" s="131"/>
      <c r="C19" s="33">
        <f>C15/C18</f>
        <v>2.6953857142857141</v>
      </c>
    </row>
    <row r="21" spans="1:6">
      <c r="A21" s="13"/>
      <c r="B21" s="13"/>
      <c r="C21" s="45"/>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theme="7" tint="0.39997558519241921"/>
  </sheetPr>
  <dimension ref="A1:F23"/>
  <sheetViews>
    <sheetView zoomScale="80" zoomScaleNormal="80" workbookViewId="0">
      <selection activeCell="T30" sqref="T30"/>
    </sheetView>
  </sheetViews>
  <sheetFormatPr defaultColWidth="8.85546875" defaultRowHeight="15.75"/>
  <cols>
    <col min="1" max="1" width="15" style="1" customWidth="1"/>
    <col min="2" max="2" width="71.85546875" style="1" customWidth="1"/>
    <col min="3" max="3" width="19.85546875" style="1" customWidth="1"/>
    <col min="4" max="4" width="14.85546875" style="1" customWidth="1"/>
    <col min="5" max="16384" width="8.85546875" style="1"/>
  </cols>
  <sheetData>
    <row r="1" spans="1:5">
      <c r="A1" s="121" t="s">
        <v>58</v>
      </c>
      <c r="B1" s="121"/>
      <c r="C1" s="121"/>
      <c r="D1" s="18"/>
      <c r="E1" s="18"/>
    </row>
    <row r="3" spans="1:5">
      <c r="A3" s="134" t="s">
        <v>70</v>
      </c>
      <c r="B3" s="134"/>
      <c r="C3" s="134"/>
    </row>
    <row r="4" spans="1:5" ht="52.5" customHeight="1">
      <c r="A4" s="139" t="s">
        <v>175</v>
      </c>
      <c r="B4" s="139"/>
      <c r="C4" s="139"/>
    </row>
    <row r="5" spans="1:5">
      <c r="A5" s="134" t="s">
        <v>59</v>
      </c>
      <c r="B5" s="134"/>
      <c r="C5" s="134"/>
    </row>
    <row r="6" spans="1:5" ht="16.5" thickBot="1">
      <c r="A6" s="135" t="s">
        <v>359</v>
      </c>
      <c r="B6" s="135"/>
    </row>
    <row r="7" spans="1:5" ht="79.5" thickBot="1">
      <c r="A7" s="19" t="s">
        <v>60</v>
      </c>
      <c r="B7" s="20" t="s">
        <v>61</v>
      </c>
      <c r="C7" s="20" t="s">
        <v>62</v>
      </c>
    </row>
    <row r="8" spans="1:5" ht="16.5" thickBot="1">
      <c r="A8" s="35"/>
      <c r="B8" s="36" t="s">
        <v>63</v>
      </c>
      <c r="C8" s="37"/>
    </row>
    <row r="9" spans="1:5">
      <c r="A9" s="38" t="s">
        <v>74</v>
      </c>
      <c r="B9" s="39" t="s">
        <v>357</v>
      </c>
      <c r="C9" s="43">
        <f>ROUND(1.52*6300,2)</f>
        <v>9576</v>
      </c>
      <c r="D9" s="9"/>
    </row>
    <row r="10" spans="1:5" ht="32.25" thickBot="1">
      <c r="A10" s="21" t="s">
        <v>75</v>
      </c>
      <c r="B10" s="65" t="s">
        <v>73</v>
      </c>
      <c r="C10" s="27">
        <f>ROUND(C9*0.2409,2)</f>
        <v>2306.86</v>
      </c>
    </row>
    <row r="11" spans="1:5" ht="16.5" thickBot="1">
      <c r="A11" s="21"/>
      <c r="B11" s="25" t="s">
        <v>64</v>
      </c>
      <c r="C11" s="26">
        <f>SUM(C9:C10)</f>
        <v>11882.86</v>
      </c>
    </row>
    <row r="12" spans="1:5" ht="16.5" thickBot="1">
      <c r="A12" s="21"/>
      <c r="B12" s="25" t="s">
        <v>65</v>
      </c>
      <c r="C12" s="27"/>
    </row>
    <row r="13" spans="1:5" ht="16.5" thickBot="1">
      <c r="A13" s="21" t="s">
        <v>85</v>
      </c>
      <c r="B13" s="23" t="s">
        <v>386</v>
      </c>
      <c r="C13" s="27">
        <f>783.95</f>
        <v>783.95</v>
      </c>
    </row>
    <row r="14" spans="1:5" ht="16.5" thickBot="1">
      <c r="A14" s="21"/>
      <c r="B14" s="22" t="s">
        <v>66</v>
      </c>
      <c r="C14" s="26">
        <f>SUM(C13:C13)</f>
        <v>783.95</v>
      </c>
    </row>
    <row r="15" spans="1:5" ht="16.5" thickBot="1">
      <c r="A15" s="21"/>
      <c r="B15" s="31" t="s">
        <v>67</v>
      </c>
      <c r="C15" s="26">
        <f>C14+C11</f>
        <v>12666.810000000001</v>
      </c>
    </row>
    <row r="16" spans="1:5">
      <c r="C16" s="9"/>
    </row>
    <row r="17" spans="1:6" ht="16.5" thickBot="1">
      <c r="C17" s="9"/>
    </row>
    <row r="18" spans="1:6" ht="16.5" thickBot="1">
      <c r="A18" s="130" t="s">
        <v>68</v>
      </c>
      <c r="B18" s="131"/>
      <c r="C18" s="32">
        <v>6300</v>
      </c>
    </row>
    <row r="19" spans="1:6" ht="16.5" thickBot="1">
      <c r="A19" s="130" t="s">
        <v>69</v>
      </c>
      <c r="B19" s="131"/>
      <c r="C19" s="33">
        <f>C15/C18</f>
        <v>2.0106047619047622</v>
      </c>
    </row>
    <row r="21" spans="1:6">
      <c r="A21" s="13"/>
      <c r="B21" s="13"/>
      <c r="C21" s="45"/>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theme="7" tint="0.39997558519241921"/>
  </sheetPr>
  <dimension ref="A1:F23"/>
  <sheetViews>
    <sheetView zoomScale="80" zoomScaleNormal="80" workbookViewId="0">
      <selection activeCell="J15" sqref="J15"/>
    </sheetView>
  </sheetViews>
  <sheetFormatPr defaultColWidth="8.85546875" defaultRowHeight="15.75"/>
  <cols>
    <col min="1" max="1" width="14.85546875" style="1" customWidth="1"/>
    <col min="2" max="2" width="79.5703125" style="1" customWidth="1"/>
    <col min="3" max="3" width="19.85546875" style="1" customWidth="1"/>
    <col min="4" max="4" width="14.85546875" style="1" customWidth="1"/>
    <col min="5" max="16384" width="8.85546875" style="1"/>
  </cols>
  <sheetData>
    <row r="1" spans="1:5">
      <c r="A1" s="121" t="s">
        <v>58</v>
      </c>
      <c r="B1" s="121"/>
      <c r="C1" s="121"/>
      <c r="D1" s="18"/>
      <c r="E1" s="18"/>
    </row>
    <row r="3" spans="1:5">
      <c r="A3" s="134" t="s">
        <v>70</v>
      </c>
      <c r="B3" s="134"/>
      <c r="C3" s="134"/>
    </row>
    <row r="4" spans="1:5" ht="21" customHeight="1">
      <c r="A4" s="139" t="s">
        <v>176</v>
      </c>
      <c r="B4" s="139"/>
      <c r="C4" s="139"/>
    </row>
    <row r="5" spans="1:5">
      <c r="A5" s="134" t="s">
        <v>59</v>
      </c>
      <c r="B5" s="134"/>
      <c r="C5" s="134"/>
    </row>
    <row r="6" spans="1:5" ht="16.5" thickBot="1">
      <c r="A6" s="135" t="s">
        <v>130</v>
      </c>
      <c r="B6" s="135"/>
    </row>
    <row r="7" spans="1:5" ht="98.25" customHeight="1" thickBot="1">
      <c r="A7" s="19" t="s">
        <v>60</v>
      </c>
      <c r="B7" s="20" t="s">
        <v>61</v>
      </c>
      <c r="C7" s="20" t="s">
        <v>62</v>
      </c>
    </row>
    <row r="8" spans="1:5" ht="16.5" thickBot="1">
      <c r="A8" s="35"/>
      <c r="B8" s="36" t="s">
        <v>63</v>
      </c>
      <c r="C8" s="37"/>
    </row>
    <row r="9" spans="1:5">
      <c r="A9" s="38" t="s">
        <v>74</v>
      </c>
      <c r="B9" s="39" t="s">
        <v>185</v>
      </c>
      <c r="C9" s="43">
        <f>ROUND(700*0.05,2)</f>
        <v>35</v>
      </c>
      <c r="D9" s="9"/>
    </row>
    <row r="10" spans="1:5" ht="32.25" thickBot="1">
      <c r="A10" s="21" t="s">
        <v>75</v>
      </c>
      <c r="B10" s="65" t="s">
        <v>73</v>
      </c>
      <c r="C10" s="27">
        <f>ROUND(C9*0.2409,2)</f>
        <v>8.43</v>
      </c>
    </row>
    <row r="11" spans="1:5" ht="16.5" thickBot="1">
      <c r="A11" s="21" t="s">
        <v>131</v>
      </c>
      <c r="B11" s="24" t="s">
        <v>132</v>
      </c>
      <c r="C11" s="27">
        <v>23.5</v>
      </c>
    </row>
    <row r="12" spans="1:5" ht="16.5" thickBot="1">
      <c r="A12" s="21"/>
      <c r="B12" s="25" t="s">
        <v>64</v>
      </c>
      <c r="C12" s="26">
        <f>SUM(C9:C11)</f>
        <v>66.930000000000007</v>
      </c>
    </row>
    <row r="13" spans="1:5" ht="16.5" thickBot="1">
      <c r="A13" s="21"/>
      <c r="B13" s="25" t="s">
        <v>65</v>
      </c>
      <c r="C13" s="27"/>
    </row>
    <row r="14" spans="1:5" ht="16.5" thickBot="1">
      <c r="A14" s="21"/>
      <c r="B14" s="22" t="s">
        <v>66</v>
      </c>
      <c r="C14" s="26">
        <v>0</v>
      </c>
    </row>
    <row r="15" spans="1:5" ht="16.5" thickBot="1">
      <c r="A15" s="21"/>
      <c r="B15" s="31" t="s">
        <v>67</v>
      </c>
      <c r="C15" s="26">
        <f>C14+C12</f>
        <v>66.930000000000007</v>
      </c>
    </row>
    <row r="16" spans="1:5">
      <c r="C16" s="9"/>
    </row>
    <row r="17" spans="1:6" ht="16.5" thickBot="1">
      <c r="C17" s="9"/>
    </row>
    <row r="18" spans="1:6" ht="16.5" thickBot="1">
      <c r="A18" s="130" t="s">
        <v>68</v>
      </c>
      <c r="B18" s="131"/>
      <c r="C18" s="32">
        <v>10</v>
      </c>
    </row>
    <row r="19" spans="1:6" ht="16.5" thickBot="1">
      <c r="A19" s="130" t="s">
        <v>69</v>
      </c>
      <c r="B19" s="131"/>
      <c r="C19" s="33">
        <f>C15/C18</f>
        <v>6.6930000000000005</v>
      </c>
    </row>
    <row r="21" spans="1:6">
      <c r="A21" s="13"/>
      <c r="B21" s="13"/>
      <c r="C21" s="13"/>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0866141732283472" right="0.70866141732283472" top="0.74803149606299213" bottom="0.74803149606299213" header="0.31496062992125984" footer="0.31496062992125984"/>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tabColor theme="7" tint="0.39997558519241921"/>
  </sheetPr>
  <dimension ref="A1:F30"/>
  <sheetViews>
    <sheetView zoomScale="80" zoomScaleNormal="80" workbookViewId="0">
      <selection activeCell="C28" sqref="C28"/>
    </sheetView>
  </sheetViews>
  <sheetFormatPr defaultColWidth="8.85546875" defaultRowHeight="15.75"/>
  <cols>
    <col min="1" max="1" width="15" style="1" customWidth="1"/>
    <col min="2" max="2" width="82.85546875" style="1" customWidth="1"/>
    <col min="3" max="3" width="19.85546875" style="1" customWidth="1"/>
    <col min="4" max="4" width="9.28515625" style="1" customWidth="1"/>
    <col min="5" max="16384" width="8.85546875" style="1"/>
  </cols>
  <sheetData>
    <row r="1" spans="1:5">
      <c r="A1" s="121" t="s">
        <v>58</v>
      </c>
      <c r="B1" s="121"/>
      <c r="C1" s="121"/>
      <c r="D1" s="18"/>
      <c r="E1" s="18"/>
    </row>
    <row r="3" spans="1:5">
      <c r="A3" s="134" t="s">
        <v>70</v>
      </c>
      <c r="B3" s="134"/>
      <c r="C3" s="134"/>
    </row>
    <row r="4" spans="1:5">
      <c r="A4" s="134" t="s">
        <v>177</v>
      </c>
      <c r="B4" s="134"/>
      <c r="C4" s="134"/>
    </row>
    <row r="5" spans="1:5">
      <c r="A5" s="134" t="s">
        <v>59</v>
      </c>
      <c r="B5" s="134"/>
      <c r="C5" s="134"/>
    </row>
    <row r="6" spans="1:5" ht="16.5" thickBot="1">
      <c r="A6" s="141" t="s">
        <v>127</v>
      </c>
      <c r="B6" s="141"/>
    </row>
    <row r="7" spans="1:5" ht="79.5" thickBot="1">
      <c r="A7" s="19" t="s">
        <v>60</v>
      </c>
      <c r="B7" s="20" t="s">
        <v>61</v>
      </c>
      <c r="C7" s="20" t="s">
        <v>62</v>
      </c>
    </row>
    <row r="8" spans="1:5" ht="16.5" thickBot="1">
      <c r="A8" s="35"/>
      <c r="B8" s="36" t="s">
        <v>63</v>
      </c>
      <c r="C8" s="37"/>
      <c r="D8" s="97"/>
      <c r="E8" s="95"/>
    </row>
    <row r="9" spans="1:5" ht="31.5">
      <c r="A9" s="49" t="s">
        <v>74</v>
      </c>
      <c r="B9" s="77" t="s">
        <v>217</v>
      </c>
      <c r="C9" s="51">
        <f>ROUND(123.64*12,2)</f>
        <v>1483.68</v>
      </c>
      <c r="D9" s="96"/>
      <c r="E9" s="85"/>
    </row>
    <row r="10" spans="1:5" ht="31.5">
      <c r="A10" s="52" t="s">
        <v>74</v>
      </c>
      <c r="B10" s="78" t="s">
        <v>218</v>
      </c>
      <c r="C10" s="100">
        <f>ROUND(86.55*12,2)</f>
        <v>1038.5999999999999</v>
      </c>
      <c r="D10" s="96"/>
      <c r="E10" s="85"/>
    </row>
    <row r="11" spans="1:5" ht="32.25" thickBot="1">
      <c r="A11" s="53" t="s">
        <v>74</v>
      </c>
      <c r="B11" s="79" t="s">
        <v>219</v>
      </c>
      <c r="C11" s="101">
        <f>ROUND(18.18*12,2)</f>
        <v>218.16</v>
      </c>
      <c r="D11" s="96"/>
      <c r="E11" s="85"/>
    </row>
    <row r="12" spans="1:5" ht="36" customHeight="1" thickBot="1">
      <c r="A12" s="21" t="s">
        <v>75</v>
      </c>
      <c r="B12" s="69" t="s">
        <v>73</v>
      </c>
      <c r="C12" s="27">
        <f>ROUND((C9+C10+C11)*0.2409,2)</f>
        <v>660.17</v>
      </c>
      <c r="D12" s="9"/>
    </row>
    <row r="13" spans="1:5" ht="16.5" thickBot="1">
      <c r="A13" s="21"/>
      <c r="B13" s="70" t="s">
        <v>64</v>
      </c>
      <c r="C13" s="26">
        <f>SUM(C9:C12)</f>
        <v>3400.6099999999997</v>
      </c>
      <c r="D13" s="9"/>
      <c r="E13" s="85"/>
    </row>
    <row r="14" spans="1:5" ht="16.5" thickBot="1">
      <c r="A14" s="21"/>
      <c r="B14" s="70" t="s">
        <v>65</v>
      </c>
      <c r="C14" s="27"/>
      <c r="E14" s="84"/>
    </row>
    <row r="15" spans="1:5" ht="32.25" thickBot="1">
      <c r="A15" s="21" t="s">
        <v>85</v>
      </c>
      <c r="B15" s="71" t="s">
        <v>198</v>
      </c>
      <c r="C15" s="27">
        <f>ROUND(50.91*12,2)</f>
        <v>610.91999999999996</v>
      </c>
      <c r="E15" s="96"/>
    </row>
    <row r="16" spans="1:5" ht="32.25" thickBot="1">
      <c r="A16" s="21" t="s">
        <v>133</v>
      </c>
      <c r="B16" s="71" t="s">
        <v>197</v>
      </c>
      <c r="C16" s="27">
        <f>ROUND((680/11)*12,2)</f>
        <v>741.82</v>
      </c>
    </row>
    <row r="17" spans="1:6" ht="32.25" thickBot="1">
      <c r="A17" s="21" t="s">
        <v>134</v>
      </c>
      <c r="B17" s="71" t="s">
        <v>158</v>
      </c>
      <c r="C17" s="27">
        <f>ROUND((30/11)*12,2)</f>
        <v>32.729999999999997</v>
      </c>
    </row>
    <row r="18" spans="1:6" ht="54" customHeight="1" thickBot="1">
      <c r="A18" s="21" t="s">
        <v>135</v>
      </c>
      <c r="B18" s="67" t="s">
        <v>199</v>
      </c>
      <c r="C18" s="27">
        <f>ROUND((128/11)*12,2)</f>
        <v>139.63999999999999</v>
      </c>
      <c r="E18" s="85"/>
    </row>
    <row r="19" spans="1:6" ht="51" customHeight="1" thickBot="1">
      <c r="A19" s="21" t="s">
        <v>157</v>
      </c>
      <c r="B19" s="67" t="s">
        <v>353</v>
      </c>
      <c r="C19" s="27">
        <f>ROUND(23.65*12,2)</f>
        <v>283.8</v>
      </c>
    </row>
    <row r="20" spans="1:6" ht="32.25" thickBot="1">
      <c r="A20" s="21" t="s">
        <v>136</v>
      </c>
      <c r="B20" s="67" t="s">
        <v>159</v>
      </c>
      <c r="C20" s="27">
        <f>ROUND(0.1*68*12,2)</f>
        <v>81.599999999999994</v>
      </c>
    </row>
    <row r="21" spans="1:6" ht="16.5" thickBot="1">
      <c r="A21" s="21"/>
      <c r="B21" s="22" t="s">
        <v>66</v>
      </c>
      <c r="C21" s="26">
        <f>SUM(C15:C20)</f>
        <v>1890.51</v>
      </c>
    </row>
    <row r="22" spans="1:6" ht="16.5" thickBot="1">
      <c r="A22" s="21"/>
      <c r="B22" s="31" t="s">
        <v>67</v>
      </c>
      <c r="C22" s="26">
        <f>C21+C13</f>
        <v>5291.12</v>
      </c>
    </row>
    <row r="23" spans="1:6">
      <c r="C23" s="9"/>
    </row>
    <row r="24" spans="1:6" ht="16.5" thickBot="1">
      <c r="C24" s="9"/>
    </row>
    <row r="25" spans="1:6" ht="16.5" thickBot="1">
      <c r="A25" s="130" t="s">
        <v>68</v>
      </c>
      <c r="B25" s="131"/>
      <c r="C25" s="32">
        <v>12</v>
      </c>
    </row>
    <row r="26" spans="1:6" ht="16.5" thickBot="1">
      <c r="A26" s="130" t="s">
        <v>69</v>
      </c>
      <c r="B26" s="131"/>
      <c r="C26" s="54">
        <f>ROUND(C22/C25,2)</f>
        <v>440.93</v>
      </c>
      <c r="E26" s="95"/>
    </row>
    <row r="28" spans="1:6">
      <c r="A28" s="13"/>
      <c r="B28" s="14"/>
      <c r="C28" s="34"/>
      <c r="D28" s="13"/>
      <c r="E28" s="13"/>
      <c r="F28" s="13"/>
    </row>
    <row r="29" spans="1:6">
      <c r="A29" s="132"/>
      <c r="B29" s="132"/>
      <c r="C29" s="45"/>
      <c r="D29" s="13"/>
      <c r="E29" s="13"/>
      <c r="F29" s="13"/>
    </row>
    <row r="30" spans="1:6" ht="18.75">
      <c r="A30" s="133"/>
      <c r="B30" s="133"/>
      <c r="C30" s="34"/>
      <c r="D30" s="34"/>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74"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theme="7" tint="0.39997558519241921"/>
  </sheetPr>
  <dimension ref="A1:F30"/>
  <sheetViews>
    <sheetView zoomScale="80" zoomScaleNormal="80" workbookViewId="0">
      <selection activeCell="C28" sqref="C28"/>
    </sheetView>
  </sheetViews>
  <sheetFormatPr defaultColWidth="8.85546875" defaultRowHeight="15.75"/>
  <cols>
    <col min="1" max="1" width="16.7109375" style="1" customWidth="1"/>
    <col min="2" max="2" width="90" style="1" customWidth="1"/>
    <col min="3" max="3" width="19.85546875" style="1" customWidth="1"/>
    <col min="4" max="4" width="8.5703125" style="1" customWidth="1"/>
    <col min="5" max="16384" width="8.85546875" style="1"/>
  </cols>
  <sheetData>
    <row r="1" spans="1:5">
      <c r="A1" s="121" t="s">
        <v>58</v>
      </c>
      <c r="B1" s="121"/>
      <c r="C1" s="121"/>
      <c r="D1" s="18"/>
      <c r="E1" s="18"/>
    </row>
    <row r="3" spans="1:5">
      <c r="A3" s="134" t="s">
        <v>70</v>
      </c>
      <c r="B3" s="134"/>
      <c r="C3" s="134"/>
    </row>
    <row r="4" spans="1:5">
      <c r="A4" s="134" t="s">
        <v>178</v>
      </c>
      <c r="B4" s="134"/>
      <c r="C4" s="134"/>
    </row>
    <row r="5" spans="1:5">
      <c r="A5" s="134" t="s">
        <v>59</v>
      </c>
      <c r="B5" s="134"/>
      <c r="C5" s="134"/>
    </row>
    <row r="6" spans="1:5" ht="16.5" thickBot="1">
      <c r="A6" s="141" t="s">
        <v>137</v>
      </c>
      <c r="B6" s="141"/>
    </row>
    <row r="7" spans="1:5" ht="79.5" thickBot="1">
      <c r="A7" s="19" t="s">
        <v>60</v>
      </c>
      <c r="B7" s="20" t="s">
        <v>61</v>
      </c>
      <c r="C7" s="20" t="s">
        <v>62</v>
      </c>
    </row>
    <row r="8" spans="1:5" ht="16.5" thickBot="1">
      <c r="A8" s="35"/>
      <c r="B8" s="36" t="s">
        <v>63</v>
      </c>
      <c r="C8" s="37"/>
      <c r="E8" s="95"/>
    </row>
    <row r="9" spans="1:5" ht="31.5">
      <c r="A9" s="49" t="s">
        <v>74</v>
      </c>
      <c r="B9" s="74" t="s">
        <v>200</v>
      </c>
      <c r="C9" s="51">
        <f>ROUND(6.4*120,2)</f>
        <v>768</v>
      </c>
      <c r="E9" s="96"/>
    </row>
    <row r="10" spans="1:5" ht="31.5">
      <c r="A10" s="52" t="s">
        <v>74</v>
      </c>
      <c r="B10" s="75" t="s">
        <v>201</v>
      </c>
      <c r="C10" s="100">
        <f>ROUND((20*(8/25))*120,2)</f>
        <v>768</v>
      </c>
      <c r="E10" s="96"/>
    </row>
    <row r="11" spans="1:5" ht="32.25" thickBot="1">
      <c r="A11" s="53" t="s">
        <v>74</v>
      </c>
      <c r="B11" s="76" t="s">
        <v>202</v>
      </c>
      <c r="C11" s="101">
        <f>ROUND(6.4*120,2)</f>
        <v>768</v>
      </c>
      <c r="E11" s="96"/>
    </row>
    <row r="12" spans="1:5" ht="32.25" thickBot="1">
      <c r="A12" s="21" t="s">
        <v>75</v>
      </c>
      <c r="B12" s="65" t="s">
        <v>73</v>
      </c>
      <c r="C12" s="27">
        <f>ROUND((C9+C10+C11)*0.2409,2)</f>
        <v>555.03</v>
      </c>
    </row>
    <row r="13" spans="1:5" ht="16.5" thickBot="1">
      <c r="A13" s="21"/>
      <c r="B13" s="66" t="s">
        <v>64</v>
      </c>
      <c r="C13" s="26">
        <f>SUM(C9:C12)</f>
        <v>2859.0299999999997</v>
      </c>
    </row>
    <row r="14" spans="1:5" ht="16.5" thickBot="1">
      <c r="A14" s="21"/>
      <c r="B14" s="66" t="s">
        <v>65</v>
      </c>
      <c r="C14" s="27"/>
    </row>
    <row r="15" spans="1:5" ht="32.25" thickBot="1">
      <c r="A15" s="21" t="s">
        <v>85</v>
      </c>
      <c r="B15" s="67" t="s">
        <v>203</v>
      </c>
      <c r="C15" s="27">
        <f>ROUND((140/25*120),2)</f>
        <v>672</v>
      </c>
      <c r="E15" s="85"/>
    </row>
    <row r="16" spans="1:5" ht="37.5" customHeight="1" thickBot="1">
      <c r="A16" s="21" t="s">
        <v>133</v>
      </c>
      <c r="B16" s="67" t="s">
        <v>196</v>
      </c>
      <c r="C16" s="27">
        <f>ROUND(80/25*120,2)</f>
        <v>384</v>
      </c>
    </row>
    <row r="17" spans="1:6" ht="35.25" customHeight="1" thickBot="1">
      <c r="A17" s="21" t="s">
        <v>134</v>
      </c>
      <c r="B17" s="67" t="s">
        <v>160</v>
      </c>
      <c r="C17" s="27">
        <f>ROUND(30/25*120,2)</f>
        <v>144</v>
      </c>
    </row>
    <row r="18" spans="1:6" ht="51" customHeight="1" thickBot="1">
      <c r="A18" s="21" t="s">
        <v>135</v>
      </c>
      <c r="B18" s="67" t="s">
        <v>385</v>
      </c>
      <c r="C18" s="27">
        <f>ROUND(137/25*120,2)</f>
        <v>657.6</v>
      </c>
      <c r="D18" s="117"/>
    </row>
    <row r="19" spans="1:6" ht="53.25" customHeight="1" thickBot="1">
      <c r="A19" s="21" t="s">
        <v>157</v>
      </c>
      <c r="B19" s="67" t="s">
        <v>161</v>
      </c>
      <c r="C19" s="27">
        <f>ROUND(90/25*120,2)</f>
        <v>432</v>
      </c>
    </row>
    <row r="20" spans="1:6" ht="37.5" customHeight="1" thickBot="1">
      <c r="A20" s="21" t="s">
        <v>136</v>
      </c>
      <c r="B20" s="67" t="s">
        <v>159</v>
      </c>
      <c r="C20" s="92">
        <f>ROUND(0.1*8*120,2)</f>
        <v>96</v>
      </c>
    </row>
    <row r="21" spans="1:6" ht="16.5" thickBot="1">
      <c r="A21" s="21"/>
      <c r="B21" s="22" t="s">
        <v>66</v>
      </c>
      <c r="C21" s="26">
        <f>SUM(C15:C20)</f>
        <v>2385.6</v>
      </c>
    </row>
    <row r="22" spans="1:6" ht="16.5" thickBot="1">
      <c r="A22" s="21"/>
      <c r="B22" s="31" t="s">
        <v>67</v>
      </c>
      <c r="C22" s="26">
        <f>C21+C13</f>
        <v>5244.6299999999992</v>
      </c>
    </row>
    <row r="23" spans="1:6">
      <c r="C23" s="9"/>
    </row>
    <row r="24" spans="1:6" ht="16.5" thickBot="1">
      <c r="C24" s="9"/>
    </row>
    <row r="25" spans="1:6" ht="16.5" thickBot="1">
      <c r="A25" s="130" t="s">
        <v>68</v>
      </c>
      <c r="B25" s="131"/>
      <c r="C25" s="32">
        <v>120</v>
      </c>
    </row>
    <row r="26" spans="1:6" ht="16.5" thickBot="1">
      <c r="A26" s="130" t="s">
        <v>69</v>
      </c>
      <c r="B26" s="131"/>
      <c r="C26" s="54">
        <f>C22/C25</f>
        <v>43.705249999999992</v>
      </c>
      <c r="E26" s="95"/>
    </row>
    <row r="28" spans="1:6">
      <c r="A28" s="13"/>
      <c r="B28" s="14"/>
      <c r="C28" s="34"/>
      <c r="D28" s="13"/>
      <c r="E28" s="13"/>
      <c r="F28" s="13"/>
    </row>
    <row r="29" spans="1:6">
      <c r="A29" s="132"/>
      <c r="B29" s="132"/>
      <c r="C29" s="45"/>
      <c r="D29" s="13"/>
      <c r="E29" s="13"/>
      <c r="F29" s="13"/>
    </row>
    <row r="30" spans="1:6" ht="18.75">
      <c r="A30" s="133"/>
      <c r="B30" s="133"/>
      <c r="C30" s="34"/>
      <c r="D30" s="34"/>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6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tabColor theme="7" tint="0.39997558519241921"/>
  </sheetPr>
  <dimension ref="A1:F30"/>
  <sheetViews>
    <sheetView zoomScale="80" zoomScaleNormal="80" workbookViewId="0">
      <selection activeCell="C28" sqref="C28"/>
    </sheetView>
  </sheetViews>
  <sheetFormatPr defaultColWidth="8.85546875" defaultRowHeight="15.75"/>
  <cols>
    <col min="1" max="1" width="14.28515625" style="1" customWidth="1"/>
    <col min="2" max="2" width="100" style="1" customWidth="1"/>
    <col min="3" max="3" width="19.85546875" style="1" customWidth="1"/>
    <col min="4" max="4" width="9" style="1" customWidth="1"/>
    <col min="5" max="16384" width="8.85546875" style="1"/>
  </cols>
  <sheetData>
    <row r="1" spans="1:5">
      <c r="A1" s="121" t="s">
        <v>58</v>
      </c>
      <c r="B1" s="121"/>
      <c r="C1" s="121"/>
      <c r="D1" s="18"/>
      <c r="E1" s="18"/>
    </row>
    <row r="3" spans="1:5">
      <c r="A3" s="134" t="s">
        <v>70</v>
      </c>
      <c r="B3" s="134"/>
      <c r="C3" s="134"/>
    </row>
    <row r="4" spans="1:5">
      <c r="A4" s="134" t="s">
        <v>179</v>
      </c>
      <c r="B4" s="134"/>
      <c r="C4" s="134"/>
    </row>
    <row r="5" spans="1:5">
      <c r="A5" s="134" t="s">
        <v>59</v>
      </c>
      <c r="B5" s="134"/>
      <c r="C5" s="134"/>
    </row>
    <row r="6" spans="1:5" ht="16.5" thickBot="1">
      <c r="A6" s="141" t="s">
        <v>127</v>
      </c>
      <c r="B6" s="141"/>
    </row>
    <row r="7" spans="1:5" ht="92.25" customHeight="1" thickBot="1">
      <c r="A7" s="19" t="s">
        <v>60</v>
      </c>
      <c r="B7" s="20" t="s">
        <v>61</v>
      </c>
      <c r="C7" s="20" t="s">
        <v>62</v>
      </c>
    </row>
    <row r="8" spans="1:5" ht="16.5" thickBot="1">
      <c r="A8" s="35"/>
      <c r="B8" s="36" t="s">
        <v>63</v>
      </c>
      <c r="C8" s="98"/>
      <c r="D8" s="85"/>
      <c r="E8" s="85"/>
    </row>
    <row r="9" spans="1:5" ht="28.5" customHeight="1">
      <c r="A9" s="49" t="s">
        <v>74</v>
      </c>
      <c r="B9" s="74" t="s">
        <v>204</v>
      </c>
      <c r="C9" s="51">
        <f>ROUND(26.67*12,2)</f>
        <v>320.04000000000002</v>
      </c>
      <c r="D9" s="96"/>
      <c r="E9" s="96"/>
    </row>
    <row r="10" spans="1:5" ht="31.5">
      <c r="A10" s="52" t="s">
        <v>74</v>
      </c>
      <c r="B10" s="75" t="s">
        <v>220</v>
      </c>
      <c r="C10" s="100">
        <f>ROUND(18.67*12,2)</f>
        <v>224.04</v>
      </c>
      <c r="D10" s="96"/>
      <c r="E10" s="96"/>
    </row>
    <row r="11" spans="1:5" ht="32.25" thickBot="1">
      <c r="A11" s="53" t="s">
        <v>74</v>
      </c>
      <c r="B11" s="76" t="s">
        <v>205</v>
      </c>
      <c r="C11" s="101">
        <f>ROUND(16.67*12,2)</f>
        <v>200.04</v>
      </c>
      <c r="D11" s="96"/>
      <c r="E11" s="96"/>
    </row>
    <row r="12" spans="1:5" ht="32.25" thickBot="1">
      <c r="A12" s="21" t="s">
        <v>75</v>
      </c>
      <c r="B12" s="65" t="s">
        <v>73</v>
      </c>
      <c r="C12" s="27">
        <f>ROUND((C9+C10+C11)*0.2409,2)</f>
        <v>179.26</v>
      </c>
      <c r="D12" s="9"/>
    </row>
    <row r="13" spans="1:5" ht="16.5" thickBot="1">
      <c r="A13" s="21"/>
      <c r="B13" s="66" t="s">
        <v>64</v>
      </c>
      <c r="C13" s="26">
        <f>SUM(C9:C12)</f>
        <v>923.38</v>
      </c>
      <c r="D13" s="9"/>
    </row>
    <row r="14" spans="1:5" ht="16.5" thickBot="1">
      <c r="A14" s="21"/>
      <c r="B14" s="66" t="s">
        <v>65</v>
      </c>
      <c r="C14" s="27"/>
    </row>
    <row r="15" spans="1:5" ht="34.5" customHeight="1" thickBot="1">
      <c r="A15" s="21" t="s">
        <v>85</v>
      </c>
      <c r="B15" s="67" t="s">
        <v>206</v>
      </c>
      <c r="C15" s="27">
        <f>ROUND(150/12*12,2)</f>
        <v>150</v>
      </c>
      <c r="E15" s="85"/>
    </row>
    <row r="16" spans="1:5" ht="21.75" customHeight="1" thickBot="1">
      <c r="A16" s="21" t="s">
        <v>133</v>
      </c>
      <c r="B16" s="67" t="s">
        <v>195</v>
      </c>
      <c r="C16" s="27">
        <f>ROUND((160/12)*12,2)</f>
        <v>160</v>
      </c>
    </row>
    <row r="17" spans="1:6" ht="20.25" customHeight="1" thickBot="1">
      <c r="A17" s="21" t="s">
        <v>134</v>
      </c>
      <c r="B17" s="67" t="s">
        <v>162</v>
      </c>
      <c r="C17" s="27">
        <f>ROUND((30/12)*12,2)</f>
        <v>30</v>
      </c>
    </row>
    <row r="18" spans="1:6" ht="55.5" customHeight="1" thickBot="1">
      <c r="A18" s="21" t="s">
        <v>135</v>
      </c>
      <c r="B18" s="67" t="s">
        <v>221</v>
      </c>
      <c r="C18" s="27">
        <f>ROUND((122/12)*12,2)</f>
        <v>122</v>
      </c>
      <c r="E18" s="85"/>
    </row>
    <row r="19" spans="1:6" ht="37.5" customHeight="1" thickBot="1">
      <c r="A19" s="21" t="s">
        <v>157</v>
      </c>
      <c r="B19" s="67" t="s">
        <v>207</v>
      </c>
      <c r="C19" s="27">
        <f>ROUND(80/12*12,2)</f>
        <v>80</v>
      </c>
    </row>
    <row r="20" spans="1:6" ht="32.25" thickBot="1">
      <c r="A20" s="21" t="s">
        <v>136</v>
      </c>
      <c r="B20" s="67" t="s">
        <v>159</v>
      </c>
      <c r="C20" s="27">
        <f>ROUND(0.1*16*12,2)</f>
        <v>19.2</v>
      </c>
    </row>
    <row r="21" spans="1:6" ht="16.5" thickBot="1">
      <c r="A21" s="21"/>
      <c r="B21" s="22" t="s">
        <v>66</v>
      </c>
      <c r="C21" s="26">
        <f>SUM(C15:C20)</f>
        <v>561.20000000000005</v>
      </c>
    </row>
    <row r="22" spans="1:6" ht="16.5" thickBot="1">
      <c r="A22" s="21"/>
      <c r="B22" s="31" t="s">
        <v>67</v>
      </c>
      <c r="C22" s="26">
        <f>C21+C13</f>
        <v>1484.58</v>
      </c>
    </row>
    <row r="23" spans="1:6">
      <c r="C23" s="9"/>
    </row>
    <row r="24" spans="1:6" ht="16.5" thickBot="1">
      <c r="C24" s="9"/>
    </row>
    <row r="25" spans="1:6" ht="16.5" thickBot="1">
      <c r="A25" s="130" t="s">
        <v>68</v>
      </c>
      <c r="B25" s="131"/>
      <c r="C25" s="32">
        <v>12</v>
      </c>
    </row>
    <row r="26" spans="1:6" ht="16.5" thickBot="1">
      <c r="A26" s="130" t="s">
        <v>69</v>
      </c>
      <c r="B26" s="131"/>
      <c r="C26" s="33">
        <f>ROUND(C22/C25,2)</f>
        <v>123.72</v>
      </c>
      <c r="E26" s="95"/>
    </row>
    <row r="28" spans="1:6">
      <c r="A28" s="13"/>
      <c r="B28" s="14"/>
      <c r="C28" s="34"/>
      <c r="D28" s="13"/>
      <c r="E28" s="13"/>
      <c r="F28" s="13"/>
    </row>
    <row r="29" spans="1:6">
      <c r="A29" s="132"/>
      <c r="B29" s="132"/>
      <c r="C29" s="45"/>
      <c r="D29" s="13"/>
      <c r="E29" s="13"/>
      <c r="F29" s="13"/>
    </row>
    <row r="30" spans="1:6" ht="18.75">
      <c r="A30" s="133"/>
      <c r="B30" s="133"/>
      <c r="C30" s="34"/>
      <c r="D30" s="34"/>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6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1"/>
  <sheetViews>
    <sheetView zoomScale="80" zoomScaleNormal="80" workbookViewId="0">
      <selection activeCell="C39" sqref="C39"/>
    </sheetView>
  </sheetViews>
  <sheetFormatPr defaultColWidth="8.85546875" defaultRowHeight="15.75"/>
  <cols>
    <col min="1" max="1" width="15.7109375" style="1" customWidth="1"/>
    <col min="2" max="2" width="105.5703125" style="1" customWidth="1"/>
    <col min="3" max="3" width="19.85546875" style="1" customWidth="1"/>
    <col min="4" max="4" width="7.140625" style="1" customWidth="1"/>
    <col min="5" max="16384" width="8.85546875" style="1"/>
  </cols>
  <sheetData>
    <row r="1" spans="1:4">
      <c r="A1" s="121" t="s">
        <v>58</v>
      </c>
      <c r="B1" s="121"/>
      <c r="C1" s="121"/>
      <c r="D1" s="18"/>
    </row>
    <row r="3" spans="1:4">
      <c r="A3" s="134" t="s">
        <v>70</v>
      </c>
      <c r="B3" s="134"/>
      <c r="C3" s="134"/>
    </row>
    <row r="4" spans="1:4" ht="33.75" customHeight="1">
      <c r="A4" s="134" t="s">
        <v>90</v>
      </c>
      <c r="B4" s="134"/>
      <c r="C4" s="134"/>
    </row>
    <row r="5" spans="1:4">
      <c r="A5" s="134" t="s">
        <v>59</v>
      </c>
      <c r="B5" s="134"/>
      <c r="C5" s="134"/>
    </row>
    <row r="6" spans="1:4" ht="16.5" thickBot="1">
      <c r="A6" s="135" t="s">
        <v>187</v>
      </c>
      <c r="B6" s="135"/>
    </row>
    <row r="7" spans="1:4" ht="92.25" customHeight="1" thickBot="1">
      <c r="A7" s="19" t="s">
        <v>60</v>
      </c>
      <c r="B7" s="20" t="s">
        <v>61</v>
      </c>
      <c r="C7" s="20" t="s">
        <v>62</v>
      </c>
    </row>
    <row r="8" spans="1:4" ht="16.5" thickBot="1">
      <c r="A8" s="35"/>
      <c r="B8" s="36" t="s">
        <v>63</v>
      </c>
      <c r="C8" s="37"/>
    </row>
    <row r="9" spans="1:4">
      <c r="A9" s="136" t="s">
        <v>74</v>
      </c>
      <c r="B9" s="63" t="s">
        <v>300</v>
      </c>
      <c r="C9" s="43">
        <f>ROUND(8.98*460,2)</f>
        <v>4130.8</v>
      </c>
      <c r="D9" s="93"/>
    </row>
    <row r="10" spans="1:4">
      <c r="A10" s="137"/>
      <c r="B10" s="63" t="s">
        <v>300</v>
      </c>
      <c r="C10" s="104">
        <f>ROUND(8.98*460,2)</f>
        <v>4130.8</v>
      </c>
      <c r="D10" s="15"/>
    </row>
    <row r="11" spans="1:4" ht="16.5" thickBot="1">
      <c r="A11" s="138"/>
      <c r="B11" s="63" t="s">
        <v>299</v>
      </c>
      <c r="C11" s="105">
        <f>ROUND(6.73*460,2)</f>
        <v>3095.8</v>
      </c>
      <c r="D11" s="15"/>
    </row>
    <row r="12" spans="1:4" ht="37.5" customHeight="1" thickBot="1">
      <c r="A12" s="21" t="s">
        <v>75</v>
      </c>
      <c r="B12" s="65" t="s">
        <v>73</v>
      </c>
      <c r="C12" s="27">
        <f>ROUND((C9+C10+C11)*0.2409,2)</f>
        <v>2736</v>
      </c>
    </row>
    <row r="13" spans="1:4" ht="32.25" thickBot="1">
      <c r="A13" s="21" t="s">
        <v>76</v>
      </c>
      <c r="B13" s="65" t="s">
        <v>284</v>
      </c>
      <c r="C13" s="27">
        <f>ROUND((367899/364914)*460,2)</f>
        <v>463.76</v>
      </c>
    </row>
    <row r="14" spans="1:4" ht="26.25" customHeight="1" thickBot="1">
      <c r="A14" s="21" t="s">
        <v>79</v>
      </c>
      <c r="B14" s="65" t="s">
        <v>290</v>
      </c>
      <c r="C14" s="27">
        <f>ROUND((452717/364914)*460,2)</f>
        <v>570.67999999999995</v>
      </c>
    </row>
    <row r="15" spans="1:4" ht="32.25" thickBot="1">
      <c r="A15" s="21" t="s">
        <v>81</v>
      </c>
      <c r="B15" s="65" t="s">
        <v>286</v>
      </c>
      <c r="C15" s="27">
        <f>ROUND((624380/364914)*460,2)</f>
        <v>787.08</v>
      </c>
    </row>
    <row r="16" spans="1:4" ht="32.25" thickBot="1">
      <c r="A16" s="21" t="s">
        <v>154</v>
      </c>
      <c r="B16" s="65" t="s">
        <v>287</v>
      </c>
      <c r="C16" s="27">
        <f>ROUND((500471/364914)*460,2)</f>
        <v>630.88</v>
      </c>
    </row>
    <row r="17" spans="1:5" ht="38.25" customHeight="1" thickBot="1">
      <c r="A17" s="21" t="s">
        <v>80</v>
      </c>
      <c r="B17" s="65" t="s">
        <v>291</v>
      </c>
      <c r="C17" s="46">
        <f>ROUND((15/100*72*1.06)*460,2)</f>
        <v>5266.08</v>
      </c>
    </row>
    <row r="18" spans="1:5" ht="16.5" thickBot="1">
      <c r="A18" s="21"/>
      <c r="B18" s="66" t="s">
        <v>64</v>
      </c>
      <c r="C18" s="26">
        <f>SUM(C9:C17)</f>
        <v>21811.880000000005</v>
      </c>
    </row>
    <row r="19" spans="1:5" ht="16.5" thickBot="1">
      <c r="A19" s="21"/>
      <c r="B19" s="66" t="s">
        <v>65</v>
      </c>
      <c r="C19" s="27"/>
    </row>
    <row r="20" spans="1:5" ht="30.75" customHeight="1" thickBot="1">
      <c r="A20" s="21" t="s">
        <v>83</v>
      </c>
      <c r="B20" s="28" t="s">
        <v>146</v>
      </c>
      <c r="C20" s="27">
        <f>ROUND((C9+C10+C11)*0.15,2)</f>
        <v>1703.61</v>
      </c>
    </row>
    <row r="21" spans="1:5" ht="29.25" customHeight="1" thickBot="1">
      <c r="A21" s="21" t="s">
        <v>75</v>
      </c>
      <c r="B21" s="65" t="s">
        <v>73</v>
      </c>
      <c r="C21" s="27">
        <f>ROUND(C20*0.2409,2)</f>
        <v>410.4</v>
      </c>
    </row>
    <row r="22" spans="1:5" ht="37.5" customHeight="1" thickBot="1">
      <c r="A22" s="21" t="s">
        <v>87</v>
      </c>
      <c r="B22" s="67" t="s">
        <v>292</v>
      </c>
      <c r="C22" s="27">
        <f>ROUND((39708/364914)*460,2)</f>
        <v>50.05</v>
      </c>
    </row>
    <row r="23" spans="1:5" ht="34.5" customHeight="1" thickBot="1">
      <c r="A23" s="21" t="s">
        <v>84</v>
      </c>
      <c r="B23" s="65" t="s">
        <v>293</v>
      </c>
      <c r="C23" s="27">
        <f>ROUND((813902/364914)*460,2)</f>
        <v>1025.98</v>
      </c>
    </row>
    <row r="24" spans="1:5" ht="37.5" customHeight="1" thickBot="1">
      <c r="A24" s="21" t="s">
        <v>85</v>
      </c>
      <c r="B24" s="67" t="s">
        <v>294</v>
      </c>
      <c r="C24" s="27">
        <f>ROUND((234731/364914)*460,2)</f>
        <v>295.89999999999998</v>
      </c>
    </row>
    <row r="25" spans="1:5" ht="38.25" customHeight="1" thickBot="1">
      <c r="A25" s="21" t="s">
        <v>81</v>
      </c>
      <c r="B25" s="68" t="s">
        <v>303</v>
      </c>
      <c r="C25" s="27">
        <f>ROUND((561364/364914)*460,2)</f>
        <v>707.64</v>
      </c>
    </row>
    <row r="26" spans="1:5" ht="36.75" customHeight="1" thickBot="1">
      <c r="A26" s="21" t="s">
        <v>77</v>
      </c>
      <c r="B26" s="65" t="s">
        <v>295</v>
      </c>
      <c r="C26" s="27">
        <f>ROUND((627676/364914)*460,2)</f>
        <v>791.23</v>
      </c>
    </row>
    <row r="27" spans="1:5" ht="35.25" customHeight="1" thickBot="1">
      <c r="A27" s="21" t="s">
        <v>133</v>
      </c>
      <c r="B27" s="65" t="s">
        <v>304</v>
      </c>
      <c r="C27" s="27">
        <f>ROUND((286606/364914)*460,2)</f>
        <v>361.29</v>
      </c>
    </row>
    <row r="28" spans="1:5" ht="32.25" thickBot="1">
      <c r="A28" s="21" t="s">
        <v>131</v>
      </c>
      <c r="B28" s="65" t="s">
        <v>305</v>
      </c>
      <c r="C28" s="27">
        <f>ROUND((157571/364914)*460,2)</f>
        <v>198.63</v>
      </c>
    </row>
    <row r="29" spans="1:5" ht="32.25" thickBot="1">
      <c r="A29" s="21" t="s">
        <v>86</v>
      </c>
      <c r="B29" s="65" t="s">
        <v>298</v>
      </c>
      <c r="C29" s="27">
        <f>ROUND((46423/364914)*460,2)</f>
        <v>58.52</v>
      </c>
    </row>
    <row r="30" spans="1:5" ht="32.25" thickBot="1">
      <c r="A30" s="21" t="s">
        <v>82</v>
      </c>
      <c r="B30" s="65" t="s">
        <v>354</v>
      </c>
      <c r="C30" s="27">
        <f>ROUND((42368/364914)*460,2)</f>
        <v>53.41</v>
      </c>
    </row>
    <row r="31" spans="1:5" ht="48" thickBot="1">
      <c r="A31" s="21" t="s">
        <v>155</v>
      </c>
      <c r="B31" s="65" t="s">
        <v>363</v>
      </c>
      <c r="C31" s="27">
        <f>ROUND(1.12*460+4.14*460,2)</f>
        <v>2419.6</v>
      </c>
      <c r="E31" s="9"/>
    </row>
    <row r="32" spans="1:5" ht="16.5" thickBot="1">
      <c r="A32" s="21"/>
      <c r="B32" s="22" t="s">
        <v>66</v>
      </c>
      <c r="C32" s="26">
        <f>SUM(C20:C31)</f>
        <v>8076.26</v>
      </c>
    </row>
    <row r="33" spans="1:4" ht="16.5" thickBot="1">
      <c r="A33" s="21"/>
      <c r="B33" s="31" t="s">
        <v>67</v>
      </c>
      <c r="C33" s="26">
        <f>C32+C18</f>
        <v>29888.140000000007</v>
      </c>
    </row>
    <row r="34" spans="1:4">
      <c r="C34" s="9"/>
    </row>
    <row r="35" spans="1:4" ht="16.5" thickBot="1">
      <c r="C35" s="9"/>
    </row>
    <row r="36" spans="1:4" ht="16.5" thickBot="1">
      <c r="A36" s="130" t="s">
        <v>68</v>
      </c>
      <c r="B36" s="131"/>
      <c r="C36" s="32">
        <v>460</v>
      </c>
    </row>
    <row r="37" spans="1:4" ht="16.5" thickBot="1">
      <c r="A37" s="130" t="s">
        <v>69</v>
      </c>
      <c r="B37" s="131"/>
      <c r="C37" s="33">
        <f>ROUND(C33/C36,2)</f>
        <v>64.97</v>
      </c>
    </row>
    <row r="39" spans="1:4">
      <c r="A39" s="13"/>
      <c r="B39" s="13"/>
      <c r="C39" s="13"/>
      <c r="D39" s="13"/>
    </row>
    <row r="40" spans="1:4">
      <c r="A40" s="132"/>
      <c r="B40" s="132"/>
      <c r="C40" s="13"/>
      <c r="D40" s="13"/>
    </row>
    <row r="41" spans="1:4" ht="18.75" hidden="1">
      <c r="A41" s="133"/>
      <c r="B41" s="133"/>
      <c r="C41" s="34"/>
      <c r="D41" s="34"/>
    </row>
  </sheetData>
  <mergeCells count="10">
    <mergeCell ref="A36:B36"/>
    <mergeCell ref="A37:B37"/>
    <mergeCell ref="A40:B40"/>
    <mergeCell ref="A41:B41"/>
    <mergeCell ref="A1:C1"/>
    <mergeCell ref="A3:C3"/>
    <mergeCell ref="A4:C4"/>
    <mergeCell ref="A5:C5"/>
    <mergeCell ref="A6:B6"/>
    <mergeCell ref="A9:A11"/>
  </mergeCells>
  <pageMargins left="0.7" right="0.7" top="0.75" bottom="0.75" header="0.3" footer="0.3"/>
  <pageSetup paperSize="9" scale="62"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tabColor theme="7" tint="0.39997558519241921"/>
  </sheetPr>
  <dimension ref="A1:F24"/>
  <sheetViews>
    <sheetView zoomScale="80" zoomScaleNormal="80" workbookViewId="0">
      <selection activeCell="C22" sqref="C22"/>
    </sheetView>
  </sheetViews>
  <sheetFormatPr defaultColWidth="8.85546875" defaultRowHeight="15.75"/>
  <cols>
    <col min="1" max="1" width="14.5703125" style="1" customWidth="1"/>
    <col min="2" max="2" width="90.42578125" style="1" customWidth="1"/>
    <col min="3" max="3" width="19.85546875" style="1" customWidth="1"/>
    <col min="4" max="4" width="11.85546875" style="1" customWidth="1"/>
    <col min="5" max="16384" width="8.85546875" style="1"/>
  </cols>
  <sheetData>
    <row r="1" spans="1:5">
      <c r="A1" s="121" t="s">
        <v>58</v>
      </c>
      <c r="B1" s="121"/>
      <c r="C1" s="121"/>
      <c r="D1" s="18"/>
      <c r="E1" s="18"/>
    </row>
    <row r="3" spans="1:5">
      <c r="A3" s="134" t="s">
        <v>70</v>
      </c>
      <c r="B3" s="134"/>
      <c r="C3" s="134"/>
    </row>
    <row r="4" spans="1:5">
      <c r="A4" s="134" t="s">
        <v>138</v>
      </c>
      <c r="B4" s="134"/>
      <c r="C4" s="134"/>
    </row>
    <row r="5" spans="1:5">
      <c r="A5" s="134" t="s">
        <v>59</v>
      </c>
      <c r="B5" s="134"/>
      <c r="C5" s="134"/>
    </row>
    <row r="6" spans="1:5" ht="16.5" thickBot="1">
      <c r="A6" s="135" t="s">
        <v>139</v>
      </c>
      <c r="B6" s="135"/>
    </row>
    <row r="7" spans="1:5" ht="79.5" thickBot="1">
      <c r="A7" s="19" t="s">
        <v>60</v>
      </c>
      <c r="B7" s="20" t="s">
        <v>61</v>
      </c>
      <c r="C7" s="20" t="s">
        <v>62</v>
      </c>
    </row>
    <row r="8" spans="1:5" ht="16.5" thickBot="1">
      <c r="A8" s="35"/>
      <c r="B8" s="36" t="s">
        <v>63</v>
      </c>
      <c r="C8" s="37"/>
      <c r="D8" s="95"/>
    </row>
    <row r="9" spans="1:5" ht="31.5">
      <c r="A9" s="49" t="s">
        <v>74</v>
      </c>
      <c r="B9" s="74" t="s">
        <v>208</v>
      </c>
      <c r="C9" s="51">
        <f>ROUND(800*1,2)</f>
        <v>800</v>
      </c>
      <c r="D9" s="96"/>
    </row>
    <row r="10" spans="1:5" ht="32.25" thickBot="1">
      <c r="A10" s="21" t="s">
        <v>75</v>
      </c>
      <c r="B10" s="65" t="s">
        <v>73</v>
      </c>
      <c r="C10" s="46">
        <f>ROUND(C9*0.2409,2)</f>
        <v>192.72</v>
      </c>
      <c r="D10" s="9"/>
    </row>
    <row r="11" spans="1:5" ht="16.5" thickBot="1">
      <c r="A11" s="21"/>
      <c r="B11" s="25" t="s">
        <v>64</v>
      </c>
      <c r="C11" s="26">
        <f>SUM(C9:C10)</f>
        <v>992.72</v>
      </c>
    </row>
    <row r="12" spans="1:5" ht="16.5" thickBot="1">
      <c r="A12" s="21"/>
      <c r="B12" s="25" t="s">
        <v>65</v>
      </c>
      <c r="C12" s="27"/>
    </row>
    <row r="13" spans="1:5" ht="16.5" thickBot="1">
      <c r="A13" s="55" t="s">
        <v>133</v>
      </c>
      <c r="B13" s="23" t="s">
        <v>194</v>
      </c>
      <c r="C13" s="27">
        <f>ROUND(40*1,2)</f>
        <v>40</v>
      </c>
    </row>
    <row r="14" spans="1:5" ht="27.75" customHeight="1" thickBot="1">
      <c r="A14" s="21" t="s">
        <v>136</v>
      </c>
      <c r="B14" s="67" t="s">
        <v>163</v>
      </c>
      <c r="C14" s="27">
        <f>ROUND(0.1*4,2)</f>
        <v>0.4</v>
      </c>
    </row>
    <row r="15" spans="1:5" ht="16.5" thickBot="1">
      <c r="A15" s="21"/>
      <c r="B15" s="22" t="s">
        <v>66</v>
      </c>
      <c r="C15" s="26">
        <f>SUM(C13:C14)</f>
        <v>40.4</v>
      </c>
    </row>
    <row r="16" spans="1:5" ht="16.5" thickBot="1">
      <c r="A16" s="21"/>
      <c r="B16" s="31" t="s">
        <v>67</v>
      </c>
      <c r="C16" s="26">
        <f>C15+C11</f>
        <v>1033.1200000000001</v>
      </c>
    </row>
    <row r="17" spans="1:6">
      <c r="C17" s="9"/>
    </row>
    <row r="18" spans="1:6" ht="16.5" thickBot="1">
      <c r="C18" s="9"/>
    </row>
    <row r="19" spans="1:6" ht="16.5" thickBot="1">
      <c r="A19" s="130" t="s">
        <v>68</v>
      </c>
      <c r="B19" s="131"/>
      <c r="C19" s="32">
        <v>1</v>
      </c>
    </row>
    <row r="20" spans="1:6" ht="16.5" thickBot="1">
      <c r="A20" s="130" t="s">
        <v>69</v>
      </c>
      <c r="B20" s="131"/>
      <c r="C20" s="33">
        <f>ROUND(C16/C19,2)</f>
        <v>1033.1199999999999</v>
      </c>
      <c r="D20" s="15"/>
    </row>
    <row r="22" spans="1:6">
      <c r="A22" s="13"/>
      <c r="B22" s="14"/>
      <c r="C22" s="34"/>
      <c r="D22" s="13"/>
      <c r="E22" s="13"/>
      <c r="F22" s="13"/>
    </row>
    <row r="23" spans="1:6">
      <c r="A23" s="132"/>
      <c r="B23" s="132"/>
      <c r="C23" s="45"/>
      <c r="D23" s="13"/>
      <c r="E23" s="13"/>
      <c r="F23" s="13"/>
    </row>
    <row r="24" spans="1:6" ht="18.75">
      <c r="A24" s="133"/>
      <c r="B24" s="133"/>
      <c r="C24" s="34"/>
      <c r="D24" s="34"/>
      <c r="E24" s="13"/>
      <c r="F24" s="13"/>
    </row>
  </sheetData>
  <mergeCells count="9">
    <mergeCell ref="A20:B20"/>
    <mergeCell ref="A23:B23"/>
    <mergeCell ref="A24:B24"/>
    <mergeCell ref="A1:C1"/>
    <mergeCell ref="A3:C3"/>
    <mergeCell ref="A4:C4"/>
    <mergeCell ref="A5:C5"/>
    <mergeCell ref="A6:B6"/>
    <mergeCell ref="A19:B19"/>
  </mergeCells>
  <pageMargins left="0.7" right="0.7" top="0.75" bottom="0.75" header="0.3" footer="0.3"/>
  <pageSetup paperSize="9" scale="70"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tabColor theme="7" tint="0.39997558519241921"/>
  </sheetPr>
  <dimension ref="A1:F24"/>
  <sheetViews>
    <sheetView zoomScale="80" zoomScaleNormal="80" workbookViewId="0">
      <selection activeCell="C22" sqref="C22"/>
    </sheetView>
  </sheetViews>
  <sheetFormatPr defaultColWidth="8.85546875" defaultRowHeight="15.75"/>
  <cols>
    <col min="1" max="1" width="14.5703125" style="1" customWidth="1"/>
    <col min="2" max="2" width="87.85546875" style="1" customWidth="1"/>
    <col min="3" max="3" width="19.85546875" style="1" customWidth="1"/>
    <col min="4" max="4" width="12.5703125" style="1" customWidth="1"/>
    <col min="5" max="16384" width="8.85546875" style="1"/>
  </cols>
  <sheetData>
    <row r="1" spans="1:5">
      <c r="A1" s="121" t="s">
        <v>58</v>
      </c>
      <c r="B1" s="121"/>
      <c r="C1" s="121"/>
      <c r="D1" s="18"/>
      <c r="E1" s="18"/>
    </row>
    <row r="3" spans="1:5">
      <c r="A3" s="134" t="s">
        <v>70</v>
      </c>
      <c r="B3" s="134"/>
      <c r="C3" s="134"/>
    </row>
    <row r="4" spans="1:5" ht="34.5" customHeight="1">
      <c r="A4" s="134" t="s">
        <v>140</v>
      </c>
      <c r="B4" s="134"/>
      <c r="C4" s="134"/>
    </row>
    <row r="5" spans="1:5">
      <c r="A5" s="134" t="s">
        <v>59</v>
      </c>
      <c r="B5" s="134"/>
      <c r="C5" s="134"/>
    </row>
    <row r="6" spans="1:5" ht="16.5" thickBot="1">
      <c r="A6" s="135" t="s">
        <v>139</v>
      </c>
      <c r="B6" s="135"/>
    </row>
    <row r="7" spans="1:5" ht="92.25" customHeight="1" thickBot="1">
      <c r="A7" s="19" t="s">
        <v>60</v>
      </c>
      <c r="B7" s="20" t="s">
        <v>61</v>
      </c>
      <c r="C7" s="20" t="s">
        <v>62</v>
      </c>
    </row>
    <row r="8" spans="1:5" ht="16.5" thickBot="1">
      <c r="A8" s="35"/>
      <c r="B8" s="36" t="s">
        <v>63</v>
      </c>
      <c r="C8" s="37"/>
      <c r="D8" s="85"/>
    </row>
    <row r="9" spans="1:5" ht="36" customHeight="1">
      <c r="A9" s="49" t="s">
        <v>74</v>
      </c>
      <c r="B9" s="74" t="s">
        <v>209</v>
      </c>
      <c r="C9" s="51">
        <f>ROUND(400*1,2)</f>
        <v>400</v>
      </c>
      <c r="D9" s="96"/>
    </row>
    <row r="10" spans="1:5" ht="32.25" thickBot="1">
      <c r="A10" s="21" t="s">
        <v>75</v>
      </c>
      <c r="B10" s="65" t="s">
        <v>73</v>
      </c>
      <c r="C10" s="46">
        <f>ROUND(C9*0.2409,2)</f>
        <v>96.36</v>
      </c>
      <c r="D10" s="9"/>
    </row>
    <row r="11" spans="1:5" ht="16.5" thickBot="1">
      <c r="A11" s="21"/>
      <c r="B11" s="25" t="s">
        <v>64</v>
      </c>
      <c r="C11" s="26">
        <f>SUM(C9:C10)</f>
        <v>496.36</v>
      </c>
    </row>
    <row r="12" spans="1:5" ht="16.5" thickBot="1">
      <c r="A12" s="21"/>
      <c r="B12" s="25" t="s">
        <v>65</v>
      </c>
      <c r="C12" s="27"/>
    </row>
    <row r="13" spans="1:5" ht="16.5" thickBot="1">
      <c r="A13" s="55" t="s">
        <v>133</v>
      </c>
      <c r="B13" s="67" t="s">
        <v>193</v>
      </c>
      <c r="C13" s="27">
        <f>ROUND(20*1,2)</f>
        <v>20</v>
      </c>
    </row>
    <row r="14" spans="1:5" ht="25.5" customHeight="1" thickBot="1">
      <c r="A14" s="21" t="s">
        <v>136</v>
      </c>
      <c r="B14" s="67" t="s">
        <v>163</v>
      </c>
      <c r="C14" s="27">
        <f>ROUND(0.1*2,2)</f>
        <v>0.2</v>
      </c>
    </row>
    <row r="15" spans="1:5" ht="16.5" thickBot="1">
      <c r="A15" s="21"/>
      <c r="B15" s="22" t="s">
        <v>66</v>
      </c>
      <c r="C15" s="26">
        <f>SUM(C13:C14)</f>
        <v>20.2</v>
      </c>
    </row>
    <row r="16" spans="1:5" ht="16.5" thickBot="1">
      <c r="A16" s="21"/>
      <c r="B16" s="31" t="s">
        <v>67</v>
      </c>
      <c r="C16" s="26">
        <f>C15+C11</f>
        <v>516.56000000000006</v>
      </c>
    </row>
    <row r="17" spans="1:6">
      <c r="C17" s="9"/>
    </row>
    <row r="18" spans="1:6" ht="16.5" thickBot="1">
      <c r="C18" s="9"/>
    </row>
    <row r="19" spans="1:6" ht="16.5" thickBot="1">
      <c r="A19" s="130" t="s">
        <v>68</v>
      </c>
      <c r="B19" s="131"/>
      <c r="C19" s="32">
        <v>1</v>
      </c>
    </row>
    <row r="20" spans="1:6" ht="16.5" thickBot="1">
      <c r="A20" s="130" t="s">
        <v>69</v>
      </c>
      <c r="B20" s="131"/>
      <c r="C20" s="33">
        <f>ROUND(C16/C19,2)</f>
        <v>516.55999999999995</v>
      </c>
      <c r="D20" s="95"/>
    </row>
    <row r="22" spans="1:6">
      <c r="A22" s="13"/>
      <c r="B22" s="14"/>
      <c r="C22" s="34"/>
      <c r="D22" s="13"/>
      <c r="E22" s="13"/>
      <c r="F22" s="13"/>
    </row>
    <row r="23" spans="1:6">
      <c r="A23" s="132"/>
      <c r="B23" s="132"/>
      <c r="C23" s="45"/>
      <c r="D23" s="13"/>
      <c r="E23" s="13"/>
      <c r="F23" s="13"/>
    </row>
    <row r="24" spans="1:6" ht="18.75">
      <c r="A24" s="133"/>
      <c r="B24" s="133"/>
      <c r="C24" s="34"/>
      <c r="D24" s="34"/>
      <c r="E24" s="13"/>
      <c r="F24" s="13"/>
    </row>
  </sheetData>
  <mergeCells count="9">
    <mergeCell ref="A20:B20"/>
    <mergeCell ref="A23:B23"/>
    <mergeCell ref="A24:B24"/>
    <mergeCell ref="A1:C1"/>
    <mergeCell ref="A3:C3"/>
    <mergeCell ref="A4:C4"/>
    <mergeCell ref="A5:C5"/>
    <mergeCell ref="A6:B6"/>
    <mergeCell ref="A19:B19"/>
  </mergeCells>
  <pageMargins left="0.7" right="0.7" top="0.75" bottom="0.75" header="0.3" footer="0.3"/>
  <pageSetup paperSize="9" scale="72"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tabColor theme="7" tint="0.39997558519241921"/>
  </sheetPr>
  <dimension ref="A1:F29"/>
  <sheetViews>
    <sheetView zoomScale="80" zoomScaleNormal="80" workbookViewId="0">
      <selection activeCell="C27" sqref="C27"/>
    </sheetView>
  </sheetViews>
  <sheetFormatPr defaultColWidth="8.85546875" defaultRowHeight="15.75"/>
  <cols>
    <col min="1" max="1" width="16.28515625" style="1" customWidth="1"/>
    <col min="2" max="2" width="92.140625" style="1" customWidth="1"/>
    <col min="3" max="3" width="19.85546875" style="1" customWidth="1"/>
    <col min="4" max="4" width="11.5703125" style="1" customWidth="1"/>
    <col min="5" max="16384" width="8.85546875" style="1"/>
  </cols>
  <sheetData>
    <row r="1" spans="1:5">
      <c r="A1" s="121" t="s">
        <v>58</v>
      </c>
      <c r="B1" s="121"/>
      <c r="C1" s="121"/>
      <c r="D1" s="18"/>
      <c r="E1" s="18"/>
    </row>
    <row r="3" spans="1:5">
      <c r="A3" s="134" t="s">
        <v>70</v>
      </c>
      <c r="B3" s="134"/>
      <c r="C3" s="134"/>
    </row>
    <row r="4" spans="1:5">
      <c r="A4" s="134" t="s">
        <v>141</v>
      </c>
      <c r="B4" s="134"/>
      <c r="C4" s="134"/>
    </row>
    <row r="5" spans="1:5">
      <c r="A5" s="134" t="s">
        <v>59</v>
      </c>
      <c r="B5" s="134"/>
      <c r="C5" s="134"/>
    </row>
    <row r="6" spans="1:5" ht="16.5" thickBot="1">
      <c r="A6" s="135" t="s">
        <v>142</v>
      </c>
      <c r="B6" s="135"/>
    </row>
    <row r="7" spans="1:5" ht="88.5" customHeight="1" thickBot="1">
      <c r="A7" s="19" t="s">
        <v>60</v>
      </c>
      <c r="B7" s="20" t="s">
        <v>61</v>
      </c>
      <c r="C7" s="20" t="s">
        <v>62</v>
      </c>
    </row>
    <row r="8" spans="1:5" ht="16.5" thickBot="1">
      <c r="A8" s="35"/>
      <c r="B8" s="36" t="s">
        <v>63</v>
      </c>
      <c r="C8" s="37"/>
      <c r="D8" s="85"/>
    </row>
    <row r="9" spans="1:5" ht="33" customHeight="1">
      <c r="A9" s="49" t="s">
        <v>74</v>
      </c>
      <c r="B9" s="74" t="s">
        <v>210</v>
      </c>
      <c r="C9" s="51">
        <f>ROUND(123.08*11,2)</f>
        <v>1353.88</v>
      </c>
      <c r="D9" s="96"/>
    </row>
    <row r="10" spans="1:5" ht="39" customHeight="1">
      <c r="A10" s="56" t="s">
        <v>74</v>
      </c>
      <c r="B10" s="80" t="s">
        <v>222</v>
      </c>
      <c r="C10" s="100">
        <f>ROUND(6.15*11,2)</f>
        <v>67.650000000000006</v>
      </c>
      <c r="D10" s="96"/>
    </row>
    <row r="11" spans="1:5" ht="36" customHeight="1" thickBot="1">
      <c r="A11" s="21" t="s">
        <v>75</v>
      </c>
      <c r="B11" s="81" t="s">
        <v>73</v>
      </c>
      <c r="C11" s="99">
        <f>ROUND((C9+C10)*0.2409,2)</f>
        <v>342.45</v>
      </c>
      <c r="D11" s="96"/>
    </row>
    <row r="12" spans="1:5" ht="16.5" thickBot="1">
      <c r="A12" s="21"/>
      <c r="B12" s="82" t="s">
        <v>64</v>
      </c>
      <c r="C12" s="58">
        <f>SUM(C9:C11)</f>
        <v>1763.9800000000002</v>
      </c>
    </row>
    <row r="13" spans="1:5" ht="16.5" thickBot="1">
      <c r="A13" s="21"/>
      <c r="B13" s="82" t="s">
        <v>65</v>
      </c>
      <c r="C13" s="57"/>
    </row>
    <row r="14" spans="1:5" ht="32.25" thickBot="1">
      <c r="A14" s="21" t="s">
        <v>85</v>
      </c>
      <c r="B14" s="59" t="s">
        <v>211</v>
      </c>
      <c r="C14" s="57">
        <f>ROUND(8.85*11,2)</f>
        <v>97.35</v>
      </c>
      <c r="D14" s="85"/>
    </row>
    <row r="15" spans="1:5" ht="37.5" customHeight="1" thickBot="1">
      <c r="A15" s="21" t="s">
        <v>133</v>
      </c>
      <c r="B15" s="83" t="s">
        <v>192</v>
      </c>
      <c r="C15" s="57">
        <f>ROUND(6.15*11,2)</f>
        <v>67.650000000000006</v>
      </c>
    </row>
    <row r="16" spans="1:5" ht="20.25" customHeight="1" thickBot="1">
      <c r="A16" s="21" t="s">
        <v>134</v>
      </c>
      <c r="B16" s="59" t="s">
        <v>164</v>
      </c>
      <c r="C16" s="57">
        <f>ROUND(30/13*11,2)</f>
        <v>25.38</v>
      </c>
    </row>
    <row r="17" spans="1:6" ht="53.25" customHeight="1" thickBot="1">
      <c r="A17" s="21" t="s">
        <v>135</v>
      </c>
      <c r="B17" s="59" t="s">
        <v>216</v>
      </c>
      <c r="C17" s="57">
        <f>ROUND(112/13*11,2)</f>
        <v>94.77</v>
      </c>
      <c r="D17" s="85"/>
    </row>
    <row r="18" spans="1:6" ht="53.25" customHeight="1" thickBot="1">
      <c r="A18" s="21" t="s">
        <v>157</v>
      </c>
      <c r="B18" s="59" t="s">
        <v>212</v>
      </c>
      <c r="C18" s="60">
        <f>ROUND(106/13*11,2)</f>
        <v>89.69</v>
      </c>
    </row>
    <row r="19" spans="1:6" ht="38.25" customHeight="1" thickBot="1">
      <c r="A19" s="21" t="s">
        <v>136</v>
      </c>
      <c r="B19" s="23" t="s">
        <v>159</v>
      </c>
      <c r="C19" s="27">
        <f>ROUND(0.1*8*11,2)</f>
        <v>8.8000000000000007</v>
      </c>
    </row>
    <row r="20" spans="1:6" ht="16.5" thickBot="1">
      <c r="A20" s="21"/>
      <c r="B20" s="22" t="s">
        <v>66</v>
      </c>
      <c r="C20" s="26">
        <f>SUM(C14:C19)</f>
        <v>383.64</v>
      </c>
    </row>
    <row r="21" spans="1:6" ht="16.5" thickBot="1">
      <c r="A21" s="21"/>
      <c r="B21" s="31" t="s">
        <v>67</v>
      </c>
      <c r="C21" s="26">
        <f>C20+C12</f>
        <v>2147.6200000000003</v>
      </c>
    </row>
    <row r="22" spans="1:6">
      <c r="C22" s="9"/>
    </row>
    <row r="23" spans="1:6" ht="16.5" thickBot="1">
      <c r="C23" s="9"/>
    </row>
    <row r="24" spans="1:6" ht="16.5" thickBot="1">
      <c r="A24" s="130" t="s">
        <v>68</v>
      </c>
      <c r="B24" s="131"/>
      <c r="C24" s="32">
        <v>11</v>
      </c>
    </row>
    <row r="25" spans="1:6" ht="16.5" thickBot="1">
      <c r="A25" s="130" t="s">
        <v>69</v>
      </c>
      <c r="B25" s="131"/>
      <c r="C25" s="33">
        <f>ROUND(C21/C24,2)</f>
        <v>195.24</v>
      </c>
      <c r="D25" s="95"/>
    </row>
    <row r="27" spans="1:6">
      <c r="A27" s="13"/>
      <c r="B27" s="14"/>
      <c r="C27" s="34"/>
      <c r="D27" s="13"/>
      <c r="E27" s="13"/>
      <c r="F27" s="13"/>
    </row>
    <row r="28" spans="1:6">
      <c r="A28" s="132"/>
      <c r="B28" s="132"/>
      <c r="C28" s="45"/>
      <c r="D28" s="13"/>
      <c r="E28" s="13"/>
      <c r="F28" s="13"/>
    </row>
    <row r="29" spans="1:6" ht="18.75">
      <c r="A29" s="133"/>
      <c r="B29" s="133"/>
      <c r="C29" s="34"/>
      <c r="D29" s="34"/>
      <c r="E29" s="13"/>
      <c r="F29" s="13"/>
    </row>
  </sheetData>
  <mergeCells count="9">
    <mergeCell ref="A25:B25"/>
    <mergeCell ref="A28:B28"/>
    <mergeCell ref="A29:B29"/>
    <mergeCell ref="A1:C1"/>
    <mergeCell ref="A3:C3"/>
    <mergeCell ref="A4:C4"/>
    <mergeCell ref="A5:C5"/>
    <mergeCell ref="A6:B6"/>
    <mergeCell ref="A24:B24"/>
  </mergeCells>
  <pageMargins left="0.7" right="0.7" top="0.75" bottom="0.75" header="0.3" footer="0.3"/>
  <pageSetup paperSize="9" scale="6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tabColor theme="7" tint="0.39997558519241921"/>
  </sheetPr>
  <dimension ref="A1:F29"/>
  <sheetViews>
    <sheetView zoomScale="80" zoomScaleNormal="80" workbookViewId="0">
      <selection activeCell="C27" sqref="C27"/>
    </sheetView>
  </sheetViews>
  <sheetFormatPr defaultColWidth="8.85546875" defaultRowHeight="15.75"/>
  <cols>
    <col min="1" max="1" width="14.140625" style="1" customWidth="1"/>
    <col min="2" max="2" width="95.5703125" style="1" customWidth="1"/>
    <col min="3" max="3" width="19.85546875" style="1" customWidth="1"/>
    <col min="4" max="4" width="14.85546875" style="1" customWidth="1"/>
    <col min="5" max="16384" width="8.85546875" style="1"/>
  </cols>
  <sheetData>
    <row r="1" spans="1:5">
      <c r="A1" s="121" t="s">
        <v>58</v>
      </c>
      <c r="B1" s="121"/>
      <c r="C1" s="121"/>
      <c r="D1" s="18"/>
      <c r="E1" s="18"/>
    </row>
    <row r="3" spans="1:5">
      <c r="A3" s="134" t="s">
        <v>70</v>
      </c>
      <c r="B3" s="134"/>
      <c r="C3" s="134"/>
    </row>
    <row r="4" spans="1:5">
      <c r="A4" s="134" t="s">
        <v>143</v>
      </c>
      <c r="B4" s="134"/>
      <c r="C4" s="134"/>
    </row>
    <row r="5" spans="1:5">
      <c r="A5" s="134" t="s">
        <v>59</v>
      </c>
      <c r="B5" s="134"/>
      <c r="C5" s="134"/>
    </row>
    <row r="6" spans="1:5" ht="16.5" thickBot="1">
      <c r="A6" s="135" t="s">
        <v>142</v>
      </c>
      <c r="B6" s="135"/>
    </row>
    <row r="7" spans="1:5" ht="87" customHeight="1" thickBot="1">
      <c r="A7" s="19" t="s">
        <v>60</v>
      </c>
      <c r="B7" s="20" t="s">
        <v>61</v>
      </c>
      <c r="C7" s="20" t="s">
        <v>62</v>
      </c>
    </row>
    <row r="8" spans="1:5" ht="16.5" thickBot="1">
      <c r="A8" s="35"/>
      <c r="B8" s="36" t="s">
        <v>63</v>
      </c>
      <c r="C8" s="37"/>
      <c r="D8" s="85"/>
    </row>
    <row r="9" spans="1:5" ht="35.25" customHeight="1" thickBot="1">
      <c r="A9" s="49" t="s">
        <v>74</v>
      </c>
      <c r="B9" s="50" t="s">
        <v>213</v>
      </c>
      <c r="C9" s="102">
        <f>ROUND(800/13*11,2)</f>
        <v>676.92</v>
      </c>
      <c r="D9" s="96"/>
    </row>
    <row r="10" spans="1:5" ht="33" customHeight="1" thickBot="1">
      <c r="A10" s="56" t="s">
        <v>74</v>
      </c>
      <c r="B10" s="80" t="s">
        <v>214</v>
      </c>
      <c r="C10" s="103">
        <f>ROUND(80/13*11,2)</f>
        <v>67.69</v>
      </c>
      <c r="D10" s="96"/>
    </row>
    <row r="11" spans="1:5" ht="32.25" thickBot="1">
      <c r="A11" s="21" t="s">
        <v>75</v>
      </c>
      <c r="B11" s="65" t="s">
        <v>73</v>
      </c>
      <c r="C11" s="27">
        <f>ROUND((C9+C10)*0.2409,2)</f>
        <v>179.38</v>
      </c>
      <c r="D11" s="96"/>
    </row>
    <row r="12" spans="1:5" ht="16.5" thickBot="1">
      <c r="A12" s="21"/>
      <c r="B12" s="66" t="s">
        <v>64</v>
      </c>
      <c r="C12" s="26">
        <f>SUM(C9:C11)</f>
        <v>923.9899999999999</v>
      </c>
    </row>
    <row r="13" spans="1:5" ht="16.5" thickBot="1">
      <c r="A13" s="21"/>
      <c r="B13" s="66" t="s">
        <v>65</v>
      </c>
      <c r="C13" s="27"/>
    </row>
    <row r="14" spans="1:5" ht="32.25" thickBot="1">
      <c r="A14" s="21" t="s">
        <v>85</v>
      </c>
      <c r="B14" s="61" t="s">
        <v>215</v>
      </c>
      <c r="C14" s="27">
        <f>ROUND(57.5/13*11,2)</f>
        <v>48.65</v>
      </c>
      <c r="D14" s="95"/>
    </row>
    <row r="15" spans="1:5" ht="18.75" customHeight="1" thickBot="1">
      <c r="A15" s="21" t="s">
        <v>133</v>
      </c>
      <c r="B15" s="23" t="s">
        <v>191</v>
      </c>
      <c r="C15" s="27">
        <f>ROUND(40/13*11,2)</f>
        <v>33.85</v>
      </c>
    </row>
    <row r="16" spans="1:5" ht="20.25" customHeight="1" thickBot="1">
      <c r="A16" s="21" t="s">
        <v>134</v>
      </c>
      <c r="B16" s="61" t="s">
        <v>164</v>
      </c>
      <c r="C16" s="27">
        <f>ROUND(30/13*11,2)</f>
        <v>25.38</v>
      </c>
    </row>
    <row r="17" spans="1:6" ht="48" customHeight="1" thickBot="1">
      <c r="A17" s="21" t="s">
        <v>135</v>
      </c>
      <c r="B17" s="59" t="s">
        <v>216</v>
      </c>
      <c r="C17" s="57">
        <f>ROUND(112/13*11,2)</f>
        <v>94.77</v>
      </c>
      <c r="D17" s="85"/>
    </row>
    <row r="18" spans="1:6" ht="49.5" customHeight="1" thickBot="1">
      <c r="A18" s="21" t="s">
        <v>157</v>
      </c>
      <c r="B18" s="59" t="s">
        <v>212</v>
      </c>
      <c r="C18" s="60">
        <f>ROUND(106/13*11,2)</f>
        <v>89.69</v>
      </c>
    </row>
    <row r="19" spans="1:6" ht="32.25" thickBot="1">
      <c r="A19" s="21" t="s">
        <v>136</v>
      </c>
      <c r="B19" s="23" t="s">
        <v>159</v>
      </c>
      <c r="C19" s="27">
        <f>ROUND(0.1*4*11,2)</f>
        <v>4.4000000000000004</v>
      </c>
    </row>
    <row r="20" spans="1:6" ht="16.5" thickBot="1">
      <c r="A20" s="21"/>
      <c r="B20" s="22" t="s">
        <v>66</v>
      </c>
      <c r="C20" s="26">
        <f>SUM(C14:C19)</f>
        <v>296.73999999999995</v>
      </c>
    </row>
    <row r="21" spans="1:6" ht="16.5" thickBot="1">
      <c r="A21" s="21"/>
      <c r="B21" s="31" t="s">
        <v>67</v>
      </c>
      <c r="C21" s="26">
        <f>C20+C12</f>
        <v>1220.7299999999998</v>
      </c>
    </row>
    <row r="22" spans="1:6">
      <c r="C22" s="9"/>
    </row>
    <row r="23" spans="1:6" ht="16.5" thickBot="1">
      <c r="C23" s="9"/>
    </row>
    <row r="24" spans="1:6" ht="16.5" thickBot="1">
      <c r="A24" s="130" t="s">
        <v>68</v>
      </c>
      <c r="B24" s="131"/>
      <c r="C24" s="32">
        <v>11</v>
      </c>
    </row>
    <row r="25" spans="1:6" ht="16.5" thickBot="1">
      <c r="A25" s="130" t="s">
        <v>69</v>
      </c>
      <c r="B25" s="131"/>
      <c r="C25" s="33">
        <f>ROUND(C21/C24,2)</f>
        <v>110.98</v>
      </c>
      <c r="D25" s="85"/>
    </row>
    <row r="27" spans="1:6">
      <c r="A27" s="13"/>
      <c r="B27" s="14"/>
      <c r="C27" s="34"/>
      <c r="D27" s="13"/>
      <c r="E27" s="13"/>
      <c r="F27" s="13"/>
    </row>
    <row r="28" spans="1:6">
      <c r="A28" s="132"/>
      <c r="B28" s="132"/>
      <c r="C28" s="45"/>
      <c r="D28" s="13"/>
      <c r="E28" s="13"/>
      <c r="F28" s="13"/>
    </row>
    <row r="29" spans="1:6" ht="18.75">
      <c r="A29" s="133"/>
      <c r="B29" s="133"/>
      <c r="C29" s="34"/>
      <c r="D29" s="34"/>
      <c r="E29" s="13"/>
      <c r="F29" s="13"/>
    </row>
  </sheetData>
  <mergeCells count="9">
    <mergeCell ref="A25:B25"/>
    <mergeCell ref="A28:B28"/>
    <mergeCell ref="A29:B29"/>
    <mergeCell ref="A1:C1"/>
    <mergeCell ref="A3:C3"/>
    <mergeCell ref="A4:C4"/>
    <mergeCell ref="A5:C5"/>
    <mergeCell ref="A6:B6"/>
    <mergeCell ref="A24:B24"/>
  </mergeCells>
  <pageMargins left="0.7" right="0.7" top="0.75" bottom="0.75" header="0.3" footer="0.3"/>
  <pageSetup paperSize="9" scale="70"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tabColor theme="7" tint="0.39997558519241921"/>
  </sheetPr>
  <dimension ref="A1:E24"/>
  <sheetViews>
    <sheetView zoomScale="80" zoomScaleNormal="80" workbookViewId="0">
      <selection activeCell="C22" sqref="C22"/>
    </sheetView>
  </sheetViews>
  <sheetFormatPr defaultColWidth="8.85546875" defaultRowHeight="15.75"/>
  <cols>
    <col min="1" max="1" width="15.5703125" style="1" customWidth="1"/>
    <col min="2" max="2" width="93.42578125" style="1" customWidth="1"/>
    <col min="3" max="3" width="19.85546875" style="1" customWidth="1"/>
    <col min="4" max="16384" width="8.85546875" style="1"/>
  </cols>
  <sheetData>
    <row r="1" spans="1:4">
      <c r="A1" s="121" t="s">
        <v>58</v>
      </c>
      <c r="B1" s="121"/>
      <c r="C1" s="121"/>
      <c r="D1" s="18"/>
    </row>
    <row r="3" spans="1:4">
      <c r="A3" s="134" t="s">
        <v>70</v>
      </c>
      <c r="B3" s="134"/>
      <c r="C3" s="134"/>
    </row>
    <row r="4" spans="1:4">
      <c r="A4" s="134" t="s">
        <v>180</v>
      </c>
      <c r="B4" s="134"/>
      <c r="C4" s="134"/>
    </row>
    <row r="5" spans="1:4">
      <c r="A5" s="134" t="s">
        <v>59</v>
      </c>
      <c r="B5" s="134"/>
      <c r="C5" s="134"/>
    </row>
    <row r="6" spans="1:4" ht="16.5" thickBot="1">
      <c r="A6" s="135" t="s">
        <v>144</v>
      </c>
      <c r="B6" s="135"/>
    </row>
    <row r="7" spans="1:4" ht="90.75" customHeight="1" thickBot="1">
      <c r="A7" s="19" t="s">
        <v>60</v>
      </c>
      <c r="B7" s="20" t="s">
        <v>61</v>
      </c>
      <c r="C7" s="20" t="s">
        <v>62</v>
      </c>
    </row>
    <row r="8" spans="1:4" ht="16.5" thickBot="1">
      <c r="A8" s="35"/>
      <c r="B8" s="36" t="s">
        <v>63</v>
      </c>
      <c r="C8" s="37"/>
    </row>
    <row r="9" spans="1:4" ht="31.5">
      <c r="A9" s="111" t="s">
        <v>74</v>
      </c>
      <c r="B9" s="39" t="s">
        <v>369</v>
      </c>
      <c r="C9" s="43">
        <f>ROUND(1190*0.1+996*0.6,2)</f>
        <v>716.6</v>
      </c>
    </row>
    <row r="10" spans="1:4" ht="32.25" thickBot="1">
      <c r="A10" s="21" t="s">
        <v>75</v>
      </c>
      <c r="B10" s="65" t="s">
        <v>73</v>
      </c>
      <c r="C10" s="46">
        <f>ROUND(C9*0.2409,2)</f>
        <v>172.63</v>
      </c>
    </row>
    <row r="11" spans="1:4" ht="31.5">
      <c r="A11" s="49" t="s">
        <v>85</v>
      </c>
      <c r="B11" s="50" t="s">
        <v>370</v>
      </c>
      <c r="C11" s="51">
        <f>ROUND(1.13*40000,2)</f>
        <v>45200</v>
      </c>
    </row>
    <row r="12" spans="1:4" ht="16.5" thickBot="1">
      <c r="A12" s="21"/>
      <c r="B12" s="25" t="s">
        <v>64</v>
      </c>
      <c r="C12" s="26">
        <f>SUM(C9:C11)</f>
        <v>46089.23</v>
      </c>
    </row>
    <row r="13" spans="1:4" ht="16.5" thickBot="1">
      <c r="A13" s="21"/>
      <c r="B13" s="25" t="s">
        <v>65</v>
      </c>
      <c r="C13" s="27"/>
    </row>
    <row r="14" spans="1:4" ht="16.5" thickBot="1">
      <c r="A14" s="21" t="s">
        <v>134</v>
      </c>
      <c r="B14" s="23" t="s">
        <v>96</v>
      </c>
      <c r="C14" s="27">
        <v>23.5</v>
      </c>
    </row>
    <row r="15" spans="1:4" ht="16.5" thickBot="1">
      <c r="A15" s="21"/>
      <c r="B15" s="22" t="s">
        <v>66</v>
      </c>
      <c r="C15" s="113">
        <f>C14</f>
        <v>23.5</v>
      </c>
    </row>
    <row r="16" spans="1:4" ht="16.5" thickBot="1">
      <c r="A16" s="21"/>
      <c r="B16" s="112" t="s">
        <v>67</v>
      </c>
      <c r="C16" s="114">
        <f>C15+C12</f>
        <v>46112.73</v>
      </c>
    </row>
    <row r="17" spans="1:5">
      <c r="C17" s="9"/>
    </row>
    <row r="18" spans="1:5" ht="16.5" thickBot="1">
      <c r="C18" s="9"/>
    </row>
    <row r="19" spans="1:5" ht="16.5" thickBot="1">
      <c r="A19" s="130" t="s">
        <v>68</v>
      </c>
      <c r="B19" s="131"/>
      <c r="C19" s="32">
        <v>40000</v>
      </c>
    </row>
    <row r="20" spans="1:5">
      <c r="A20" s="130" t="s">
        <v>69</v>
      </c>
      <c r="B20" s="131"/>
      <c r="C20" s="116">
        <f>ROUND(C16/C19,2)</f>
        <v>1.1499999999999999</v>
      </c>
    </row>
    <row r="22" spans="1:5">
      <c r="A22" s="13"/>
      <c r="B22" s="14"/>
      <c r="C22" s="34"/>
      <c r="D22" s="13"/>
      <c r="E22" s="13"/>
    </row>
    <row r="23" spans="1:5">
      <c r="A23" s="132"/>
      <c r="B23" s="132"/>
      <c r="C23" s="45"/>
      <c r="D23" s="13"/>
      <c r="E23" s="13"/>
    </row>
    <row r="24" spans="1:5" ht="18.75">
      <c r="A24" s="133"/>
      <c r="B24" s="133"/>
      <c r="C24" s="34"/>
      <c r="D24" s="13"/>
      <c r="E24" s="13"/>
    </row>
  </sheetData>
  <mergeCells count="9">
    <mergeCell ref="A20:B20"/>
    <mergeCell ref="A23:B23"/>
    <mergeCell ref="A24:B24"/>
    <mergeCell ref="A1:C1"/>
    <mergeCell ref="A3:C3"/>
    <mergeCell ref="A4:C4"/>
    <mergeCell ref="A5:C5"/>
    <mergeCell ref="A6:B6"/>
    <mergeCell ref="A19:B19"/>
  </mergeCells>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G42"/>
  <sheetViews>
    <sheetView zoomScale="80" zoomScaleNormal="80" workbookViewId="0">
      <selection activeCell="C40" sqref="C40"/>
    </sheetView>
  </sheetViews>
  <sheetFormatPr defaultColWidth="8.85546875" defaultRowHeight="15.75"/>
  <cols>
    <col min="1" max="1" width="14.140625" style="1" customWidth="1"/>
    <col min="2" max="2" width="103.42578125" style="1" customWidth="1"/>
    <col min="3" max="3" width="19.85546875" style="1" customWidth="1"/>
    <col min="4" max="4" width="7.140625" style="1" customWidth="1"/>
    <col min="5" max="5" width="7.7109375" style="1" customWidth="1"/>
    <col min="6" max="16384" width="8.85546875" style="1"/>
  </cols>
  <sheetData>
    <row r="1" spans="1:5">
      <c r="A1" s="121" t="s">
        <v>58</v>
      </c>
      <c r="B1" s="121"/>
      <c r="C1" s="121"/>
      <c r="D1" s="18"/>
      <c r="E1" s="18"/>
    </row>
    <row r="3" spans="1:5">
      <c r="A3" s="134" t="s">
        <v>70</v>
      </c>
      <c r="B3" s="134"/>
      <c r="C3" s="134"/>
    </row>
    <row r="4" spans="1:5" ht="33.75" customHeight="1">
      <c r="A4" s="134" t="s">
        <v>91</v>
      </c>
      <c r="B4" s="134"/>
      <c r="C4" s="134"/>
    </row>
    <row r="5" spans="1:5">
      <c r="A5" s="134" t="s">
        <v>59</v>
      </c>
      <c r="B5" s="134"/>
      <c r="C5" s="134"/>
    </row>
    <row r="6" spans="1:5" ht="16.5" thickBot="1">
      <c r="A6" s="135" t="s">
        <v>182</v>
      </c>
      <c r="B6" s="135"/>
    </row>
    <row r="7" spans="1:5" ht="79.5" thickBot="1">
      <c r="A7" s="19" t="s">
        <v>60</v>
      </c>
      <c r="B7" s="20" t="s">
        <v>61</v>
      </c>
      <c r="C7" s="20" t="s">
        <v>62</v>
      </c>
    </row>
    <row r="8" spans="1:5" ht="16.5" thickBot="1">
      <c r="A8" s="35"/>
      <c r="B8" s="72" t="s">
        <v>63</v>
      </c>
      <c r="C8" s="37"/>
      <c r="E8" s="95"/>
    </row>
    <row r="9" spans="1:5">
      <c r="A9" s="136" t="s">
        <v>74</v>
      </c>
      <c r="B9" s="63" t="s">
        <v>300</v>
      </c>
      <c r="C9" s="43">
        <f>ROUND(8.98*1121,2)</f>
        <v>10066.58</v>
      </c>
      <c r="D9" s="94"/>
      <c r="E9" s="95"/>
    </row>
    <row r="10" spans="1:5">
      <c r="A10" s="137"/>
      <c r="B10" s="63" t="s">
        <v>300</v>
      </c>
      <c r="C10" s="104">
        <f>ROUND(8.98*1121,2)</f>
        <v>10066.58</v>
      </c>
      <c r="D10" s="95"/>
      <c r="E10" s="95"/>
    </row>
    <row r="11" spans="1:5" ht="16.5" thickBot="1">
      <c r="A11" s="138"/>
      <c r="B11" s="64" t="s">
        <v>299</v>
      </c>
      <c r="C11" s="105">
        <f>ROUND(6.73*1121,2)</f>
        <v>7544.33</v>
      </c>
      <c r="D11" s="95"/>
      <c r="E11" s="95"/>
    </row>
    <row r="12" spans="1:5" ht="24" customHeight="1" thickBot="1">
      <c r="A12" s="21" t="s">
        <v>75</v>
      </c>
      <c r="B12" s="65" t="s">
        <v>73</v>
      </c>
      <c r="C12" s="27">
        <f>ROUND((C9+C10+C11)*0.2409,2)</f>
        <v>6667.51</v>
      </c>
    </row>
    <row r="13" spans="1:5" ht="32.25" thickBot="1">
      <c r="A13" s="21" t="s">
        <v>76</v>
      </c>
      <c r="B13" s="65" t="s">
        <v>284</v>
      </c>
      <c r="C13" s="27">
        <f>ROUND((367899/364914)*1121,2)</f>
        <v>1130.17</v>
      </c>
    </row>
    <row r="14" spans="1:5" ht="32.25" thickBot="1">
      <c r="A14" s="21" t="s">
        <v>78</v>
      </c>
      <c r="B14" s="65" t="s">
        <v>306</v>
      </c>
      <c r="C14" s="46">
        <f>ROUND((596554/364914)*1121,2)</f>
        <v>1832.59</v>
      </c>
    </row>
    <row r="15" spans="1:5" ht="32.25" thickBot="1">
      <c r="A15" s="21" t="s">
        <v>79</v>
      </c>
      <c r="B15" s="65" t="s">
        <v>290</v>
      </c>
      <c r="C15" s="27">
        <f>ROUND((452717/364914)*1121,2)</f>
        <v>1390.73</v>
      </c>
    </row>
    <row r="16" spans="1:5" ht="32.25" thickBot="1">
      <c r="A16" s="21" t="s">
        <v>81</v>
      </c>
      <c r="B16" s="65" t="s">
        <v>286</v>
      </c>
      <c r="C16" s="27">
        <f>ROUND((624380/364914)*1121,2)</f>
        <v>1918.07</v>
      </c>
    </row>
    <row r="17" spans="1:7" ht="32.25" thickBot="1">
      <c r="A17" s="21" t="s">
        <v>154</v>
      </c>
      <c r="B17" s="65" t="s">
        <v>287</v>
      </c>
      <c r="C17" s="27">
        <f>ROUND((500471/364914)*1121,2)</f>
        <v>1537.43</v>
      </c>
    </row>
    <row r="18" spans="1:7" ht="32.25" thickBot="1">
      <c r="A18" s="21" t="s">
        <v>80</v>
      </c>
      <c r="B18" s="65" t="s">
        <v>288</v>
      </c>
      <c r="C18" s="46">
        <f>ROUND(((15/100)*34*1.06)*1121,2)</f>
        <v>6060.13</v>
      </c>
    </row>
    <row r="19" spans="1:7" ht="16.5" thickBot="1">
      <c r="A19" s="21"/>
      <c r="B19" s="66" t="s">
        <v>64</v>
      </c>
      <c r="C19" s="26">
        <f>SUM(C9:C18)</f>
        <v>48214.119999999995</v>
      </c>
    </row>
    <row r="20" spans="1:7" ht="16.5" thickBot="1">
      <c r="A20" s="21"/>
      <c r="B20" s="66" t="s">
        <v>65</v>
      </c>
      <c r="C20" s="27"/>
    </row>
    <row r="21" spans="1:7" ht="38.25" customHeight="1" thickBot="1">
      <c r="A21" s="21" t="s">
        <v>83</v>
      </c>
      <c r="B21" s="28" t="s">
        <v>147</v>
      </c>
      <c r="C21" s="27">
        <f>ROUND((C9+C10+C11)*0.25,2)</f>
        <v>6919.37</v>
      </c>
    </row>
    <row r="22" spans="1:7" ht="34.5" customHeight="1" thickBot="1">
      <c r="A22" s="21" t="s">
        <v>75</v>
      </c>
      <c r="B22" s="65" t="s">
        <v>73</v>
      </c>
      <c r="C22" s="27">
        <f>ROUND(C21*0.2409,2)</f>
        <v>1666.88</v>
      </c>
    </row>
    <row r="23" spans="1:7" ht="32.25" thickBot="1">
      <c r="A23" s="21" t="s">
        <v>87</v>
      </c>
      <c r="B23" s="67" t="s">
        <v>292</v>
      </c>
      <c r="C23" s="27">
        <f>ROUND((39708/364914)*1121,2)</f>
        <v>121.98</v>
      </c>
      <c r="E23" s="30"/>
    </row>
    <row r="24" spans="1:7" ht="32.25" thickBot="1">
      <c r="A24" s="21" t="s">
        <v>84</v>
      </c>
      <c r="B24" s="65" t="s">
        <v>151</v>
      </c>
      <c r="C24" s="27">
        <f>ROUND((813902/438912)*1121,2)</f>
        <v>2078.7399999999998</v>
      </c>
    </row>
    <row r="25" spans="1:7" ht="32.25" thickBot="1">
      <c r="A25" s="21" t="s">
        <v>85</v>
      </c>
      <c r="B25" s="67" t="s">
        <v>294</v>
      </c>
      <c r="C25" s="27">
        <f>ROUND((234731/364914)*1121,2)</f>
        <v>721.08</v>
      </c>
    </row>
    <row r="26" spans="1:7" ht="32.25" thickBot="1">
      <c r="A26" s="21" t="s">
        <v>81</v>
      </c>
      <c r="B26" s="68" t="s">
        <v>303</v>
      </c>
      <c r="C26" s="27">
        <f>ROUND((561364/364914)*1121,2)</f>
        <v>1724.49</v>
      </c>
    </row>
    <row r="27" spans="1:7" ht="32.25" thickBot="1">
      <c r="A27" s="21" t="s">
        <v>77</v>
      </c>
      <c r="B27" s="65" t="s">
        <v>295</v>
      </c>
      <c r="C27" s="27">
        <f>ROUND(1.72*1121,2)</f>
        <v>1928.12</v>
      </c>
    </row>
    <row r="28" spans="1:7" ht="32.25" thickBot="1">
      <c r="A28" s="21" t="s">
        <v>133</v>
      </c>
      <c r="B28" s="65" t="s">
        <v>304</v>
      </c>
      <c r="C28" s="27">
        <f>ROUND(0.79*1121,2)</f>
        <v>885.59</v>
      </c>
    </row>
    <row r="29" spans="1:7" ht="32.25" thickBot="1">
      <c r="A29" s="21" t="s">
        <v>131</v>
      </c>
      <c r="B29" s="65" t="s">
        <v>297</v>
      </c>
      <c r="C29" s="27">
        <f>ROUND(0.43*1121,2)</f>
        <v>482.03</v>
      </c>
    </row>
    <row r="30" spans="1:7" ht="32.25" thickBot="1">
      <c r="A30" s="21" t="s">
        <v>86</v>
      </c>
      <c r="B30" s="65" t="s">
        <v>298</v>
      </c>
      <c r="C30" s="27">
        <f>ROUND(0.13*1121,2)</f>
        <v>145.72999999999999</v>
      </c>
    </row>
    <row r="31" spans="1:7" ht="32.25" thickBot="1">
      <c r="A31" s="21" t="s">
        <v>82</v>
      </c>
      <c r="B31" s="65" t="s">
        <v>354</v>
      </c>
      <c r="C31" s="27">
        <f>ROUND(0.12*1121,2)</f>
        <v>134.52000000000001</v>
      </c>
    </row>
    <row r="32" spans="1:7" ht="48" thickBot="1">
      <c r="A32" s="21" t="s">
        <v>155</v>
      </c>
      <c r="B32" s="65" t="s">
        <v>363</v>
      </c>
      <c r="C32" s="27">
        <f>ROUND(1.12*1121+4.14*1121,2)</f>
        <v>5896.46</v>
      </c>
      <c r="G32" s="9"/>
    </row>
    <row r="33" spans="1:6" ht="16.5" thickBot="1">
      <c r="A33" s="21"/>
      <c r="B33" s="22" t="s">
        <v>66</v>
      </c>
      <c r="C33" s="26">
        <f>SUM(C21:C32)</f>
        <v>22704.989999999998</v>
      </c>
    </row>
    <row r="34" spans="1:6" ht="16.5" thickBot="1">
      <c r="A34" s="21"/>
      <c r="B34" s="31" t="s">
        <v>67</v>
      </c>
      <c r="C34" s="26">
        <f>C33+C19</f>
        <v>70919.109999999986</v>
      </c>
    </row>
    <row r="35" spans="1:6">
      <c r="C35" s="9"/>
    </row>
    <row r="36" spans="1:6" ht="16.5" thickBot="1">
      <c r="C36" s="9"/>
    </row>
    <row r="37" spans="1:6" ht="16.5" thickBot="1">
      <c r="A37" s="130" t="s">
        <v>68</v>
      </c>
      <c r="B37" s="131"/>
      <c r="C37" s="32">
        <v>1121</v>
      </c>
    </row>
    <row r="38" spans="1:6" ht="16.5" thickBot="1">
      <c r="A38" s="130" t="s">
        <v>69</v>
      </c>
      <c r="B38" s="131"/>
      <c r="C38" s="33">
        <f>ROUND(C34/C37,2)</f>
        <v>63.26</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sheetPr>
  <dimension ref="A1:G42"/>
  <sheetViews>
    <sheetView zoomScale="80" zoomScaleNormal="80" workbookViewId="0">
      <selection activeCell="C40" sqref="C40"/>
    </sheetView>
  </sheetViews>
  <sheetFormatPr defaultColWidth="8.85546875" defaultRowHeight="15.75"/>
  <cols>
    <col min="1" max="1" width="11.7109375" style="1" customWidth="1"/>
    <col min="2" max="2" width="98.5703125" style="1" customWidth="1"/>
    <col min="3" max="3" width="19.85546875" style="1" customWidth="1"/>
    <col min="4" max="4" width="6.7109375" style="1" customWidth="1"/>
    <col min="5" max="5" width="7.28515625" style="1" customWidth="1"/>
    <col min="6" max="16384" width="8.85546875" style="1"/>
  </cols>
  <sheetData>
    <row r="1" spans="1:5">
      <c r="A1" s="121" t="s">
        <v>58</v>
      </c>
      <c r="B1" s="121"/>
      <c r="C1" s="121"/>
      <c r="D1" s="18"/>
      <c r="E1" s="18"/>
    </row>
    <row r="3" spans="1:5">
      <c r="A3" s="134" t="s">
        <v>70</v>
      </c>
      <c r="B3" s="134"/>
      <c r="C3" s="134"/>
    </row>
    <row r="4" spans="1:5" ht="33.75" customHeight="1">
      <c r="A4" s="134" t="s">
        <v>92</v>
      </c>
      <c r="B4" s="134"/>
      <c r="C4" s="134"/>
    </row>
    <row r="5" spans="1:5">
      <c r="A5" s="134" t="s">
        <v>59</v>
      </c>
      <c r="B5" s="134"/>
      <c r="C5" s="134"/>
    </row>
    <row r="6" spans="1:5" ht="16.5" thickBot="1">
      <c r="A6" s="135" t="s">
        <v>188</v>
      </c>
      <c r="B6" s="135"/>
    </row>
    <row r="7" spans="1:5" ht="79.5" thickBot="1">
      <c r="A7" s="19" t="s">
        <v>60</v>
      </c>
      <c r="B7" s="20" t="s">
        <v>61</v>
      </c>
      <c r="C7" s="20" t="s">
        <v>62</v>
      </c>
    </row>
    <row r="8" spans="1:5" ht="16.5" thickBot="1">
      <c r="A8" s="35"/>
      <c r="B8" s="36" t="s">
        <v>63</v>
      </c>
      <c r="C8" s="37"/>
      <c r="E8" s="95"/>
    </row>
    <row r="9" spans="1:5">
      <c r="A9" s="136" t="s">
        <v>74</v>
      </c>
      <c r="B9" s="63" t="s">
        <v>300</v>
      </c>
      <c r="C9" s="43">
        <f>ROUND(14.49*7,2)</f>
        <v>101.43</v>
      </c>
      <c r="D9" s="94"/>
      <c r="E9" s="95"/>
    </row>
    <row r="10" spans="1:5">
      <c r="A10" s="137"/>
      <c r="B10" s="63" t="s">
        <v>300</v>
      </c>
      <c r="C10" s="104">
        <f>ROUND(14.49*7,2)</f>
        <v>101.43</v>
      </c>
      <c r="D10" s="94"/>
      <c r="E10" s="95"/>
    </row>
    <row r="11" spans="1:5" ht="16.5" thickBot="1">
      <c r="A11" s="138"/>
      <c r="B11" s="41" t="s">
        <v>299</v>
      </c>
      <c r="C11" s="105">
        <f>ROUND(10.87*7,2)</f>
        <v>76.09</v>
      </c>
      <c r="D11" s="95"/>
      <c r="E11" s="95"/>
    </row>
    <row r="12" spans="1:5" ht="32.25" thickBot="1">
      <c r="A12" s="21" t="s">
        <v>75</v>
      </c>
      <c r="B12" s="65" t="s">
        <v>73</v>
      </c>
      <c r="C12" s="27">
        <f>ROUND((C9+C10+C11)*0.2409,2)</f>
        <v>67.2</v>
      </c>
    </row>
    <row r="13" spans="1:5" ht="32.25" thickBot="1">
      <c r="A13" s="21" t="s">
        <v>76</v>
      </c>
      <c r="B13" s="24" t="s">
        <v>284</v>
      </c>
      <c r="C13" s="27">
        <f>ROUND(1.01*7,2)</f>
        <v>7.07</v>
      </c>
    </row>
    <row r="14" spans="1:5" ht="32.25" thickBot="1">
      <c r="A14" s="21" t="s">
        <v>78</v>
      </c>
      <c r="B14" s="65" t="s">
        <v>308</v>
      </c>
      <c r="C14" s="46">
        <f>ROUND(1.63*7,2)</f>
        <v>11.41</v>
      </c>
    </row>
    <row r="15" spans="1:5" ht="32.25" thickBot="1">
      <c r="A15" s="21" t="s">
        <v>79</v>
      </c>
      <c r="B15" s="65" t="s">
        <v>290</v>
      </c>
      <c r="C15" s="27">
        <f>ROUND(1.24*7,2)</f>
        <v>8.68</v>
      </c>
    </row>
    <row r="16" spans="1:5" ht="32.25" thickBot="1">
      <c r="A16" s="21" t="s">
        <v>81</v>
      </c>
      <c r="B16" s="24" t="s">
        <v>309</v>
      </c>
      <c r="C16" s="27">
        <f>ROUND(1.71*7,2)</f>
        <v>11.97</v>
      </c>
    </row>
    <row r="17" spans="1:7" ht="32.25" thickBot="1">
      <c r="A17" s="21" t="s">
        <v>154</v>
      </c>
      <c r="B17" s="24" t="s">
        <v>287</v>
      </c>
      <c r="C17" s="27">
        <f>ROUND(1.37*7,2)</f>
        <v>9.59</v>
      </c>
    </row>
    <row r="18" spans="1:7" ht="32.25" thickBot="1">
      <c r="A18" s="21" t="s">
        <v>80</v>
      </c>
      <c r="B18" s="24" t="s">
        <v>288</v>
      </c>
      <c r="C18" s="46">
        <f>ROUND(5.41*7,2)</f>
        <v>37.869999999999997</v>
      </c>
    </row>
    <row r="19" spans="1:7" ht="16.5" thickBot="1">
      <c r="A19" s="21"/>
      <c r="B19" s="25" t="s">
        <v>64</v>
      </c>
      <c r="C19" s="26">
        <f>SUM(C9:C18)</f>
        <v>432.74000000000007</v>
      </c>
    </row>
    <row r="20" spans="1:7" ht="16.5" thickBot="1">
      <c r="A20" s="21"/>
      <c r="B20" s="25" t="s">
        <v>65</v>
      </c>
      <c r="C20" s="27"/>
    </row>
    <row r="21" spans="1:7" ht="32.25" thickBot="1">
      <c r="A21" s="21" t="s">
        <v>83</v>
      </c>
      <c r="B21" s="28" t="s">
        <v>147</v>
      </c>
      <c r="C21" s="27">
        <f>ROUND((C9+C10+C11)*0.25,2)</f>
        <v>69.739999999999995</v>
      </c>
    </row>
    <row r="22" spans="1:7" ht="32.25" thickBot="1">
      <c r="A22" s="21" t="s">
        <v>75</v>
      </c>
      <c r="B22" s="65" t="s">
        <v>73</v>
      </c>
      <c r="C22" s="27">
        <f>ROUND(C21*0.2409,2)</f>
        <v>16.8</v>
      </c>
    </row>
    <row r="23" spans="1:7" ht="32.25" thickBot="1">
      <c r="A23" s="21" t="s">
        <v>87</v>
      </c>
      <c r="B23" s="23" t="s">
        <v>310</v>
      </c>
      <c r="C23" s="27">
        <f>ROUND(0.11*7,2)</f>
        <v>0.77</v>
      </c>
      <c r="E23" s="30"/>
    </row>
    <row r="24" spans="1:7" ht="32.25" thickBot="1">
      <c r="A24" s="21" t="s">
        <v>84</v>
      </c>
      <c r="B24" s="24" t="s">
        <v>293</v>
      </c>
      <c r="C24" s="27">
        <f>ROUND(2.23*7,2)</f>
        <v>15.61</v>
      </c>
    </row>
    <row r="25" spans="1:7" ht="32.25" thickBot="1">
      <c r="A25" s="21" t="s">
        <v>85</v>
      </c>
      <c r="B25" s="67" t="s">
        <v>311</v>
      </c>
      <c r="C25" s="27">
        <f>ROUND(0.64*7,2)</f>
        <v>4.4800000000000004</v>
      </c>
    </row>
    <row r="26" spans="1:7" ht="32.25" thickBot="1">
      <c r="A26" s="21" t="s">
        <v>81</v>
      </c>
      <c r="B26" s="29" t="s">
        <v>303</v>
      </c>
      <c r="C26" s="27">
        <f>ROUND(1.54*7,2)</f>
        <v>10.78</v>
      </c>
    </row>
    <row r="27" spans="1:7" ht="32.25" thickBot="1">
      <c r="A27" s="21" t="s">
        <v>77</v>
      </c>
      <c r="B27" s="65" t="s">
        <v>295</v>
      </c>
      <c r="C27" s="27">
        <f>ROUND(1.72*7,2)</f>
        <v>12.04</v>
      </c>
    </row>
    <row r="28" spans="1:7" ht="32.25" thickBot="1">
      <c r="A28" s="21" t="s">
        <v>133</v>
      </c>
      <c r="B28" s="65" t="s">
        <v>312</v>
      </c>
      <c r="C28" s="27">
        <f>ROUND(0.79*7,2)</f>
        <v>5.53</v>
      </c>
    </row>
    <row r="29" spans="1:7" ht="32.25" thickBot="1">
      <c r="A29" s="21" t="s">
        <v>131</v>
      </c>
      <c r="B29" s="24" t="s">
        <v>297</v>
      </c>
      <c r="C29" s="27">
        <f>ROUND(0.43*7,2)</f>
        <v>3.01</v>
      </c>
    </row>
    <row r="30" spans="1:7" ht="32.25" thickBot="1">
      <c r="A30" s="21" t="s">
        <v>86</v>
      </c>
      <c r="B30" s="24" t="s">
        <v>313</v>
      </c>
      <c r="C30" s="27">
        <f>ROUND(0.13*7,2)</f>
        <v>0.91</v>
      </c>
    </row>
    <row r="31" spans="1:7" ht="32.25" thickBot="1">
      <c r="A31" s="21" t="s">
        <v>82</v>
      </c>
      <c r="B31" s="65" t="s">
        <v>354</v>
      </c>
      <c r="C31" s="27">
        <f>ROUND(0.12*7,2)</f>
        <v>0.84</v>
      </c>
    </row>
    <row r="32" spans="1:7" ht="48" thickBot="1">
      <c r="A32" s="21" t="s">
        <v>155</v>
      </c>
      <c r="B32" s="65" t="s">
        <v>363</v>
      </c>
      <c r="C32" s="27">
        <f>ROUND(1.12*7+4.14*7,2)</f>
        <v>36.82</v>
      </c>
      <c r="G32" s="9"/>
    </row>
    <row r="33" spans="1:6" ht="16.5" thickBot="1">
      <c r="A33" s="21"/>
      <c r="B33" s="22" t="s">
        <v>66</v>
      </c>
      <c r="C33" s="26">
        <f>SUM(C21:C32)</f>
        <v>177.32999999999998</v>
      </c>
    </row>
    <row r="34" spans="1:6" ht="16.5" thickBot="1">
      <c r="A34" s="21"/>
      <c r="B34" s="31" t="s">
        <v>67</v>
      </c>
      <c r="C34" s="26">
        <f>C33+C19</f>
        <v>610.07000000000005</v>
      </c>
    </row>
    <row r="35" spans="1:6">
      <c r="C35" s="9"/>
    </row>
    <row r="36" spans="1:6" ht="16.5" thickBot="1">
      <c r="C36" s="9"/>
    </row>
    <row r="37" spans="1:6" ht="16.5" thickBot="1">
      <c r="A37" s="130" t="s">
        <v>68</v>
      </c>
      <c r="B37" s="131"/>
      <c r="C37" s="32">
        <v>7</v>
      </c>
    </row>
    <row r="38" spans="1:6" ht="16.5" thickBot="1">
      <c r="A38" s="130" t="s">
        <v>69</v>
      </c>
      <c r="B38" s="131"/>
      <c r="C38" s="33">
        <f>ROUND(C34/C37,2)</f>
        <v>87.15</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sheetPr>
  <dimension ref="A1:G42"/>
  <sheetViews>
    <sheetView zoomScale="80" zoomScaleNormal="80" workbookViewId="0">
      <selection activeCell="C40" sqref="C40"/>
    </sheetView>
  </sheetViews>
  <sheetFormatPr defaultColWidth="8.85546875" defaultRowHeight="15.75"/>
  <cols>
    <col min="1" max="1" width="14.140625" style="1" customWidth="1"/>
    <col min="2" max="2" width="102" style="1" customWidth="1"/>
    <col min="3" max="3" width="19.85546875" style="1" customWidth="1"/>
    <col min="4" max="4" width="7.5703125" style="1" customWidth="1"/>
    <col min="5" max="5" width="7.140625" style="1" customWidth="1"/>
    <col min="6" max="16384" width="8.85546875" style="1"/>
  </cols>
  <sheetData>
    <row r="1" spans="1:5">
      <c r="A1" s="121" t="s">
        <v>58</v>
      </c>
      <c r="B1" s="121"/>
      <c r="C1" s="121"/>
      <c r="D1" s="18"/>
      <c r="E1" s="18"/>
    </row>
    <row r="3" spans="1:5">
      <c r="A3" s="134" t="s">
        <v>70</v>
      </c>
      <c r="B3" s="134"/>
      <c r="C3" s="134"/>
    </row>
    <row r="4" spans="1:5" ht="33.75" customHeight="1">
      <c r="A4" s="134" t="s">
        <v>93</v>
      </c>
      <c r="B4" s="134"/>
      <c r="C4" s="134"/>
    </row>
    <row r="5" spans="1:5">
      <c r="A5" s="134" t="s">
        <v>59</v>
      </c>
      <c r="B5" s="134"/>
      <c r="C5" s="134"/>
    </row>
    <row r="6" spans="1:5" ht="16.5" thickBot="1">
      <c r="A6" s="135" t="s">
        <v>183</v>
      </c>
      <c r="B6" s="135"/>
    </row>
    <row r="7" spans="1:5" ht="79.5" thickBot="1">
      <c r="A7" s="19" t="s">
        <v>60</v>
      </c>
      <c r="B7" s="20" t="s">
        <v>61</v>
      </c>
      <c r="C7" s="20" t="s">
        <v>62</v>
      </c>
    </row>
    <row r="8" spans="1:5" ht="16.5" thickBot="1">
      <c r="A8" s="35"/>
      <c r="B8" s="36" t="s">
        <v>63</v>
      </c>
      <c r="C8" s="37"/>
      <c r="E8" s="95"/>
    </row>
    <row r="9" spans="1:5">
      <c r="A9" s="136" t="s">
        <v>74</v>
      </c>
      <c r="B9" s="39" t="s">
        <v>94</v>
      </c>
      <c r="C9" s="43">
        <f>ROUND(13.56*109,2)</f>
        <v>1478.04</v>
      </c>
      <c r="D9" s="94"/>
      <c r="E9" s="15"/>
    </row>
    <row r="10" spans="1:5">
      <c r="A10" s="137"/>
      <c r="B10" s="40" t="s">
        <v>300</v>
      </c>
      <c r="C10" s="104">
        <f>ROUND(8.98*109,2)</f>
        <v>978.82</v>
      </c>
      <c r="D10" s="95"/>
      <c r="E10" s="15"/>
    </row>
    <row r="11" spans="1:5" ht="16.5" thickBot="1">
      <c r="A11" s="138"/>
      <c r="B11" s="41" t="s">
        <v>299</v>
      </c>
      <c r="C11" s="105">
        <f>ROUND(6.73*109,2)</f>
        <v>733.57</v>
      </c>
      <c r="D11" s="95"/>
      <c r="E11" s="15"/>
    </row>
    <row r="12" spans="1:5" ht="35.450000000000003" customHeight="1" thickBot="1">
      <c r="A12" s="21" t="s">
        <v>75</v>
      </c>
      <c r="B12" s="65" t="s">
        <v>73</v>
      </c>
      <c r="C12" s="27">
        <f>ROUND((C9+C10+C11)*0.2409,2)</f>
        <v>768.57</v>
      </c>
    </row>
    <row r="13" spans="1:5" ht="32.25" thickBot="1">
      <c r="A13" s="21" t="s">
        <v>76</v>
      </c>
      <c r="B13" s="24" t="s">
        <v>284</v>
      </c>
      <c r="C13" s="27">
        <f>ROUND(1.01*109,2)</f>
        <v>110.09</v>
      </c>
    </row>
    <row r="14" spans="1:5" ht="32.25" thickBot="1">
      <c r="A14" s="21" t="s">
        <v>78</v>
      </c>
      <c r="B14" s="24" t="s">
        <v>314</v>
      </c>
      <c r="C14" s="46">
        <f>ROUND((1.63+6.91)*109,2)</f>
        <v>930.86</v>
      </c>
    </row>
    <row r="15" spans="1:5" ht="32.25" thickBot="1">
      <c r="A15" s="21" t="s">
        <v>79</v>
      </c>
      <c r="B15" s="65" t="s">
        <v>290</v>
      </c>
      <c r="C15" s="27">
        <f>ROUND(1.24*109,2)</f>
        <v>135.16</v>
      </c>
    </row>
    <row r="16" spans="1:5" ht="32.25" thickBot="1">
      <c r="A16" s="21" t="s">
        <v>81</v>
      </c>
      <c r="B16" s="24" t="s">
        <v>286</v>
      </c>
      <c r="C16" s="27">
        <f>ROUND(1.42*109,2)</f>
        <v>154.78</v>
      </c>
    </row>
    <row r="17" spans="1:7" ht="32.25" thickBot="1">
      <c r="A17" s="21" t="s">
        <v>154</v>
      </c>
      <c r="B17" s="24" t="s">
        <v>287</v>
      </c>
      <c r="C17" s="27">
        <f>ROUND(1.37*109,2)</f>
        <v>149.33000000000001</v>
      </c>
    </row>
    <row r="18" spans="1:7" ht="32.25" thickBot="1">
      <c r="A18" s="21" t="s">
        <v>80</v>
      </c>
      <c r="B18" s="24" t="s">
        <v>288</v>
      </c>
      <c r="C18" s="46">
        <f>ROUND(5.41*109,2)</f>
        <v>589.69000000000005</v>
      </c>
    </row>
    <row r="19" spans="1:7" ht="16.5" thickBot="1">
      <c r="A19" s="21"/>
      <c r="B19" s="25" t="s">
        <v>64</v>
      </c>
      <c r="C19" s="26">
        <f>SUM(C9:C18)</f>
        <v>6028.91</v>
      </c>
    </row>
    <row r="20" spans="1:7" ht="16.5" thickBot="1">
      <c r="A20" s="21"/>
      <c r="B20" s="25" t="s">
        <v>65</v>
      </c>
      <c r="C20" s="27"/>
    </row>
    <row r="21" spans="1:7" ht="32.25" thickBot="1">
      <c r="A21" s="21" t="s">
        <v>83</v>
      </c>
      <c r="B21" s="28" t="s">
        <v>147</v>
      </c>
      <c r="C21" s="27">
        <f>ROUND((C9+C10+C11)*0.25,2)</f>
        <v>797.61</v>
      </c>
    </row>
    <row r="22" spans="1:7" ht="25.5" customHeight="1" thickBot="1">
      <c r="A22" s="21" t="s">
        <v>75</v>
      </c>
      <c r="B22" s="65" t="s">
        <v>73</v>
      </c>
      <c r="C22" s="27">
        <f>ROUND(C21*0.2409,2)</f>
        <v>192.14</v>
      </c>
    </row>
    <row r="23" spans="1:7" ht="32.25" thickBot="1">
      <c r="A23" s="21" t="s">
        <v>87</v>
      </c>
      <c r="B23" s="23" t="s">
        <v>292</v>
      </c>
      <c r="C23" s="27">
        <f>ROUND((39708/364914)*109,2)</f>
        <v>11.86</v>
      </c>
      <c r="E23" s="30"/>
    </row>
    <row r="24" spans="1:7" ht="32.25" thickBot="1">
      <c r="A24" s="21" t="s">
        <v>84</v>
      </c>
      <c r="B24" s="24" t="s">
        <v>293</v>
      </c>
      <c r="C24" s="27">
        <f>ROUND(2.23*109,2)</f>
        <v>243.07</v>
      </c>
    </row>
    <row r="25" spans="1:7" ht="32.25" thickBot="1">
      <c r="A25" s="21" t="s">
        <v>85</v>
      </c>
      <c r="B25" s="67" t="s">
        <v>294</v>
      </c>
      <c r="C25" s="27">
        <f>ROUND(0.64*109,2)</f>
        <v>69.760000000000005</v>
      </c>
    </row>
    <row r="26" spans="1:7" ht="32.25" thickBot="1">
      <c r="A26" s="21" t="s">
        <v>81</v>
      </c>
      <c r="B26" s="29" t="s">
        <v>315</v>
      </c>
      <c r="C26" s="27">
        <f>ROUND((561364/364914)*109,2)</f>
        <v>167.68</v>
      </c>
    </row>
    <row r="27" spans="1:7" ht="32.25" thickBot="1">
      <c r="A27" s="21" t="s">
        <v>77</v>
      </c>
      <c r="B27" s="65" t="s">
        <v>295</v>
      </c>
      <c r="C27" s="27">
        <f>ROUND((627676/364914)*109,2)</f>
        <v>187.49</v>
      </c>
    </row>
    <row r="28" spans="1:7" ht="32.25" thickBot="1">
      <c r="A28" s="21" t="s">
        <v>133</v>
      </c>
      <c r="B28" s="65" t="s">
        <v>304</v>
      </c>
      <c r="C28" s="27">
        <f>ROUND((286606/364914)*109,2)</f>
        <v>85.61</v>
      </c>
    </row>
    <row r="29" spans="1:7" ht="32.25" thickBot="1">
      <c r="A29" s="21" t="s">
        <v>131</v>
      </c>
      <c r="B29" s="24" t="s">
        <v>316</v>
      </c>
      <c r="C29" s="27">
        <f>ROUND(0.43*109,2)</f>
        <v>46.87</v>
      </c>
    </row>
    <row r="30" spans="1:7" ht="32.25" thickBot="1">
      <c r="A30" s="21" t="s">
        <v>86</v>
      </c>
      <c r="B30" s="24" t="s">
        <v>313</v>
      </c>
      <c r="C30" s="27">
        <f>ROUND((46423/364914)*109,2)</f>
        <v>13.87</v>
      </c>
    </row>
    <row r="31" spans="1:7" ht="32.25" thickBot="1">
      <c r="A31" s="21" t="s">
        <v>82</v>
      </c>
      <c r="B31" s="65" t="s">
        <v>354</v>
      </c>
      <c r="C31" s="27">
        <f>ROUND(0.12*109,2)</f>
        <v>13.08</v>
      </c>
    </row>
    <row r="32" spans="1:7" ht="48" thickBot="1">
      <c r="A32" s="21" t="s">
        <v>155</v>
      </c>
      <c r="B32" s="65" t="s">
        <v>363</v>
      </c>
      <c r="C32" s="27">
        <f>ROUND(1.12*109+4.14*109,2)</f>
        <v>573.34</v>
      </c>
      <c r="G32" s="9"/>
    </row>
    <row r="33" spans="1:6" ht="16.5" thickBot="1">
      <c r="A33" s="21"/>
      <c r="B33" s="22" t="s">
        <v>66</v>
      </c>
      <c r="C33" s="26">
        <f>SUM(C21:C32)</f>
        <v>2402.3799999999997</v>
      </c>
    </row>
    <row r="34" spans="1:6" ht="16.5" thickBot="1">
      <c r="A34" s="21"/>
      <c r="B34" s="31" t="s">
        <v>67</v>
      </c>
      <c r="C34" s="26">
        <f>C33+C19</f>
        <v>8431.2899999999991</v>
      </c>
    </row>
    <row r="35" spans="1:6">
      <c r="C35" s="9"/>
    </row>
    <row r="36" spans="1:6" ht="16.5" thickBot="1">
      <c r="C36" s="9"/>
    </row>
    <row r="37" spans="1:6" ht="16.5" thickBot="1">
      <c r="A37" s="130" t="s">
        <v>68</v>
      </c>
      <c r="B37" s="131"/>
      <c r="C37" s="32">
        <v>109</v>
      </c>
    </row>
    <row r="38" spans="1:6" ht="16.5" thickBot="1">
      <c r="A38" s="130" t="s">
        <v>69</v>
      </c>
      <c r="B38" s="131"/>
      <c r="C38" s="33">
        <f>ROUND(C34/C37,2)</f>
        <v>77.349999999999994</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G42"/>
  <sheetViews>
    <sheetView zoomScale="80" zoomScaleNormal="80" workbookViewId="0">
      <selection activeCell="C40" sqref="C40"/>
    </sheetView>
  </sheetViews>
  <sheetFormatPr defaultColWidth="8.85546875" defaultRowHeight="15.75"/>
  <cols>
    <col min="1" max="1" width="14.85546875" style="1" customWidth="1"/>
    <col min="2" max="2" width="98.85546875" style="1" customWidth="1"/>
    <col min="3" max="3" width="19.85546875" style="1" customWidth="1"/>
    <col min="4" max="4" width="6.5703125" style="1" customWidth="1"/>
    <col min="5" max="5" width="7" style="1" customWidth="1"/>
    <col min="6" max="16384" width="8.85546875" style="1"/>
  </cols>
  <sheetData>
    <row r="1" spans="1:5">
      <c r="A1" s="121" t="s">
        <v>58</v>
      </c>
      <c r="B1" s="121"/>
      <c r="C1" s="121"/>
      <c r="D1" s="18"/>
      <c r="E1" s="18"/>
    </row>
    <row r="3" spans="1:5">
      <c r="A3" s="134" t="s">
        <v>70</v>
      </c>
      <c r="B3" s="134"/>
      <c r="C3" s="134"/>
    </row>
    <row r="4" spans="1:5" ht="37.5" customHeight="1">
      <c r="A4" s="139" t="s">
        <v>95</v>
      </c>
      <c r="B4" s="139"/>
      <c r="C4" s="139"/>
    </row>
    <row r="5" spans="1:5">
      <c r="A5" s="134" t="s">
        <v>59</v>
      </c>
      <c r="B5" s="134"/>
      <c r="C5" s="134"/>
    </row>
    <row r="6" spans="1:5" ht="16.5" thickBot="1">
      <c r="A6" s="135" t="s">
        <v>188</v>
      </c>
      <c r="B6" s="135"/>
    </row>
    <row r="7" spans="1:5" ht="79.5" thickBot="1">
      <c r="A7" s="19" t="s">
        <v>60</v>
      </c>
      <c r="B7" s="20" t="s">
        <v>61</v>
      </c>
      <c r="C7" s="20" t="s">
        <v>62</v>
      </c>
    </row>
    <row r="8" spans="1:5" ht="16.5" thickBot="1">
      <c r="A8" s="35"/>
      <c r="B8" s="36" t="s">
        <v>63</v>
      </c>
      <c r="C8" s="37"/>
      <c r="E8" s="95"/>
    </row>
    <row r="9" spans="1:5">
      <c r="A9" s="136" t="s">
        <v>74</v>
      </c>
      <c r="B9" s="39" t="s">
        <v>94</v>
      </c>
      <c r="C9" s="43">
        <f>ROUND(23.86*7,2)</f>
        <v>167.02</v>
      </c>
      <c r="D9" s="94"/>
      <c r="E9" s="95"/>
    </row>
    <row r="10" spans="1:5">
      <c r="A10" s="137"/>
      <c r="B10" s="40" t="s">
        <v>300</v>
      </c>
      <c r="C10" s="104">
        <f>ROUND(14.49*7,2)</f>
        <v>101.43</v>
      </c>
      <c r="D10" s="95"/>
      <c r="E10" s="95"/>
    </row>
    <row r="11" spans="1:5" ht="16.5" thickBot="1">
      <c r="A11" s="138"/>
      <c r="B11" s="41" t="s">
        <v>299</v>
      </c>
      <c r="C11" s="105">
        <f>ROUND(10.87*7,2)</f>
        <v>76.09</v>
      </c>
      <c r="D11" s="95"/>
      <c r="E11" s="95"/>
    </row>
    <row r="12" spans="1:5" ht="32.25" thickBot="1">
      <c r="A12" s="21" t="s">
        <v>75</v>
      </c>
      <c r="B12" s="65" t="s">
        <v>73</v>
      </c>
      <c r="C12" s="27">
        <f>ROUND((C9+C10+C11)*0.2409,2)</f>
        <v>83</v>
      </c>
    </row>
    <row r="13" spans="1:5" ht="32.25" thickBot="1">
      <c r="A13" s="21" t="s">
        <v>76</v>
      </c>
      <c r="B13" s="24" t="s">
        <v>284</v>
      </c>
      <c r="C13" s="27">
        <f>ROUND(1.01*7,2)</f>
        <v>7.07</v>
      </c>
    </row>
    <row r="14" spans="1:5" ht="32.25" thickBot="1">
      <c r="A14" s="21" t="s">
        <v>78</v>
      </c>
      <c r="B14" s="24" t="s">
        <v>317</v>
      </c>
      <c r="C14" s="46">
        <f>ROUND((1.63+6.91)*7,2)</f>
        <v>59.78</v>
      </c>
    </row>
    <row r="15" spans="1:5" ht="32.25" thickBot="1">
      <c r="A15" s="21" t="s">
        <v>79</v>
      </c>
      <c r="B15" s="65" t="s">
        <v>290</v>
      </c>
      <c r="C15" s="27">
        <f>ROUND(1.24*7,2)</f>
        <v>8.68</v>
      </c>
    </row>
    <row r="16" spans="1:5" ht="32.25" thickBot="1">
      <c r="A16" s="21" t="s">
        <v>81</v>
      </c>
      <c r="B16" s="24" t="s">
        <v>286</v>
      </c>
      <c r="C16" s="27">
        <f>ROUND(1.71*7,2)</f>
        <v>11.97</v>
      </c>
    </row>
    <row r="17" spans="1:7" ht="32.25" thickBot="1">
      <c r="A17" s="21" t="s">
        <v>154</v>
      </c>
      <c r="B17" s="24" t="s">
        <v>287</v>
      </c>
      <c r="C17" s="27">
        <f>ROUND(1.37*7,2)</f>
        <v>9.59</v>
      </c>
    </row>
    <row r="18" spans="1:7" ht="32.25" thickBot="1">
      <c r="A18" s="21" t="s">
        <v>80</v>
      </c>
      <c r="B18" s="24" t="s">
        <v>288</v>
      </c>
      <c r="C18" s="46">
        <f>ROUND(5.41*7,2)</f>
        <v>37.869999999999997</v>
      </c>
    </row>
    <row r="19" spans="1:7" ht="16.5" thickBot="1">
      <c r="A19" s="21"/>
      <c r="B19" s="25" t="s">
        <v>64</v>
      </c>
      <c r="C19" s="26">
        <f>SUM(C9:C18)</f>
        <v>562.50000000000011</v>
      </c>
    </row>
    <row r="20" spans="1:7" ht="16.5" thickBot="1">
      <c r="A20" s="21"/>
      <c r="B20" s="25" t="s">
        <v>65</v>
      </c>
      <c r="C20" s="27"/>
    </row>
    <row r="21" spans="1:7" ht="32.25" thickBot="1">
      <c r="A21" s="21" t="s">
        <v>83</v>
      </c>
      <c r="B21" s="28" t="s">
        <v>147</v>
      </c>
      <c r="C21" s="27">
        <f>ROUND((C9+C10+C11)*0.25,2)</f>
        <v>86.14</v>
      </c>
    </row>
    <row r="22" spans="1:7" ht="32.25" thickBot="1">
      <c r="A22" s="21" t="s">
        <v>75</v>
      </c>
      <c r="B22" s="24" t="s">
        <v>73</v>
      </c>
      <c r="C22" s="27">
        <f>ROUND(C21*0.2409,2)</f>
        <v>20.75</v>
      </c>
    </row>
    <row r="23" spans="1:7" ht="32.25" thickBot="1">
      <c r="A23" s="21" t="s">
        <v>87</v>
      </c>
      <c r="B23" s="23" t="s">
        <v>292</v>
      </c>
      <c r="C23" s="27">
        <f>ROUND((39708/364914)*7,2)</f>
        <v>0.76</v>
      </c>
      <c r="E23" s="30"/>
    </row>
    <row r="24" spans="1:7" ht="32.25" thickBot="1">
      <c r="A24" s="21" t="s">
        <v>84</v>
      </c>
      <c r="B24" s="24" t="s">
        <v>293</v>
      </c>
      <c r="C24" s="27">
        <f>ROUND(2.23*7,2)</f>
        <v>15.61</v>
      </c>
    </row>
    <row r="25" spans="1:7" ht="32.25" thickBot="1">
      <c r="A25" s="21" t="s">
        <v>85</v>
      </c>
      <c r="B25" s="67" t="s">
        <v>294</v>
      </c>
      <c r="C25" s="27">
        <f>ROUND(0.64*7,2)</f>
        <v>4.4800000000000004</v>
      </c>
    </row>
    <row r="26" spans="1:7" ht="32.25" thickBot="1">
      <c r="A26" s="21" t="s">
        <v>81</v>
      </c>
      <c r="B26" s="29" t="s">
        <v>303</v>
      </c>
      <c r="C26" s="27">
        <f>ROUND(1.54*7,2)</f>
        <v>10.78</v>
      </c>
    </row>
    <row r="27" spans="1:7" ht="32.25" thickBot="1">
      <c r="A27" s="21" t="s">
        <v>77</v>
      </c>
      <c r="B27" s="65" t="s">
        <v>318</v>
      </c>
      <c r="C27" s="27">
        <f>ROUND(1.72*7,2)</f>
        <v>12.04</v>
      </c>
    </row>
    <row r="28" spans="1:7" ht="32.25" thickBot="1">
      <c r="A28" s="21" t="s">
        <v>133</v>
      </c>
      <c r="B28" s="65" t="s">
        <v>319</v>
      </c>
      <c r="C28" s="27">
        <f>ROUND(0.79*7,2)</f>
        <v>5.53</v>
      </c>
    </row>
    <row r="29" spans="1:7" ht="32.25" thickBot="1">
      <c r="A29" s="21" t="s">
        <v>131</v>
      </c>
      <c r="B29" s="24" t="s">
        <v>305</v>
      </c>
      <c r="C29" s="27">
        <f>ROUND(0.43*7,2)</f>
        <v>3.01</v>
      </c>
    </row>
    <row r="30" spans="1:7" ht="32.25" thickBot="1">
      <c r="A30" s="21" t="s">
        <v>86</v>
      </c>
      <c r="B30" s="24" t="s">
        <v>298</v>
      </c>
      <c r="C30" s="27">
        <f>ROUND(0.13*7,2)</f>
        <v>0.91</v>
      </c>
    </row>
    <row r="31" spans="1:7" ht="32.25" thickBot="1">
      <c r="A31" s="21" t="s">
        <v>82</v>
      </c>
      <c r="B31" s="65" t="s">
        <v>354</v>
      </c>
      <c r="C31" s="27">
        <f>ROUND(0.12*7,2)</f>
        <v>0.84</v>
      </c>
    </row>
    <row r="32" spans="1:7" ht="48" thickBot="1">
      <c r="A32" s="21" t="s">
        <v>155</v>
      </c>
      <c r="B32" s="65" t="s">
        <v>363</v>
      </c>
      <c r="C32" s="27">
        <f>ROUND(1.12*7+4.14*7,2)</f>
        <v>36.82</v>
      </c>
      <c r="G32" s="9"/>
    </row>
    <row r="33" spans="1:6" ht="16.5" thickBot="1">
      <c r="A33" s="21"/>
      <c r="B33" s="22" t="s">
        <v>66</v>
      </c>
      <c r="C33" s="26">
        <f>SUM(C21:C32)</f>
        <v>197.67</v>
      </c>
    </row>
    <row r="34" spans="1:6" ht="16.5" thickBot="1">
      <c r="A34" s="21"/>
      <c r="B34" s="31" t="s">
        <v>67</v>
      </c>
      <c r="C34" s="26">
        <f>C33+C19</f>
        <v>760.17000000000007</v>
      </c>
    </row>
    <row r="35" spans="1:6">
      <c r="C35" s="9"/>
    </row>
    <row r="36" spans="1:6" ht="16.5" thickBot="1">
      <c r="C36" s="9"/>
    </row>
    <row r="37" spans="1:6" ht="16.5" thickBot="1">
      <c r="A37" s="130" t="s">
        <v>68</v>
      </c>
      <c r="B37" s="131"/>
      <c r="C37" s="32">
        <v>7</v>
      </c>
    </row>
    <row r="38" spans="1:6" ht="16.5" thickBot="1">
      <c r="A38" s="130" t="s">
        <v>69</v>
      </c>
      <c r="B38" s="131"/>
      <c r="C38" s="33">
        <f>ROUND(C34/C37,2)</f>
        <v>108.6</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sheetPr>
  <dimension ref="A1:G42"/>
  <sheetViews>
    <sheetView zoomScale="80" zoomScaleNormal="80" workbookViewId="0">
      <selection activeCell="C40" sqref="C40"/>
    </sheetView>
  </sheetViews>
  <sheetFormatPr defaultColWidth="8.85546875" defaultRowHeight="15.75"/>
  <cols>
    <col min="1" max="1" width="14.5703125" style="1" customWidth="1"/>
    <col min="2" max="2" width="101.7109375" style="1" customWidth="1"/>
    <col min="3" max="3" width="19.85546875" style="1" customWidth="1"/>
    <col min="4" max="4" width="7.42578125" style="1" customWidth="1"/>
    <col min="5" max="5" width="8" style="1" customWidth="1"/>
    <col min="6" max="16384" width="8.85546875" style="1"/>
  </cols>
  <sheetData>
    <row r="1" spans="1:5">
      <c r="A1" s="121" t="s">
        <v>58</v>
      </c>
      <c r="B1" s="121"/>
      <c r="C1" s="121"/>
      <c r="D1" s="18"/>
      <c r="E1" s="18"/>
    </row>
    <row r="3" spans="1:5">
      <c r="A3" s="134" t="s">
        <v>70</v>
      </c>
      <c r="B3" s="134"/>
      <c r="C3" s="134"/>
    </row>
    <row r="4" spans="1:5" ht="33.75" customHeight="1">
      <c r="A4" s="134" t="s">
        <v>97</v>
      </c>
      <c r="B4" s="134"/>
      <c r="C4" s="134"/>
    </row>
    <row r="5" spans="1:5">
      <c r="A5" s="134" t="s">
        <v>59</v>
      </c>
      <c r="B5" s="134"/>
      <c r="C5" s="134"/>
    </row>
    <row r="6" spans="1:5" ht="16.5" thickBot="1">
      <c r="A6" s="135" t="s">
        <v>98</v>
      </c>
      <c r="B6" s="135"/>
    </row>
    <row r="7" spans="1:5" ht="85.5" customHeight="1" thickBot="1">
      <c r="A7" s="19" t="s">
        <v>60</v>
      </c>
      <c r="B7" s="20" t="s">
        <v>61</v>
      </c>
      <c r="C7" s="20" t="s">
        <v>62</v>
      </c>
    </row>
    <row r="8" spans="1:5" ht="16.5" thickBot="1">
      <c r="A8" s="35"/>
      <c r="B8" s="36" t="s">
        <v>63</v>
      </c>
      <c r="C8" s="37"/>
      <c r="E8" s="95"/>
    </row>
    <row r="9" spans="1:5">
      <c r="A9" s="136" t="s">
        <v>74</v>
      </c>
      <c r="B9" s="39" t="s">
        <v>100</v>
      </c>
      <c r="C9" s="43">
        <f>ROUND(14.78*4,2)</f>
        <v>59.12</v>
      </c>
      <c r="D9" s="94"/>
      <c r="E9" s="95"/>
    </row>
    <row r="10" spans="1:5">
      <c r="A10" s="137"/>
      <c r="B10" s="40" t="s">
        <v>300</v>
      </c>
      <c r="C10" s="104">
        <f>ROUND(8.98*4,2)</f>
        <v>35.92</v>
      </c>
      <c r="D10" s="95"/>
      <c r="E10" s="95"/>
    </row>
    <row r="11" spans="1:5" ht="16.5" thickBot="1">
      <c r="A11" s="138"/>
      <c r="B11" s="41" t="s">
        <v>299</v>
      </c>
      <c r="C11" s="105">
        <f>ROUND(6.73*4,2)</f>
        <v>26.92</v>
      </c>
      <c r="D11" s="95"/>
      <c r="E11" s="94"/>
    </row>
    <row r="12" spans="1:5" ht="26.25" customHeight="1" thickBot="1">
      <c r="A12" s="21" t="s">
        <v>75</v>
      </c>
      <c r="B12" s="65" t="s">
        <v>73</v>
      </c>
      <c r="C12" s="27">
        <f>ROUND((C9+C10+C11)*0.2409,2)</f>
        <v>29.38</v>
      </c>
    </row>
    <row r="13" spans="1:5" ht="32.25" thickBot="1">
      <c r="A13" s="21" t="s">
        <v>76</v>
      </c>
      <c r="B13" s="24" t="s">
        <v>284</v>
      </c>
      <c r="C13" s="27">
        <f>ROUND(1.01*4,2)</f>
        <v>4.04</v>
      </c>
    </row>
    <row r="14" spans="1:5" ht="32.25" thickBot="1">
      <c r="A14" s="21" t="s">
        <v>78</v>
      </c>
      <c r="B14" s="24" t="s">
        <v>320</v>
      </c>
      <c r="C14" s="46">
        <f>ROUND((1.63+9.22)*4,2)</f>
        <v>43.4</v>
      </c>
    </row>
    <row r="15" spans="1:5" ht="32.25" thickBot="1">
      <c r="A15" s="21" t="s">
        <v>79</v>
      </c>
      <c r="B15" s="65" t="s">
        <v>321</v>
      </c>
      <c r="C15" s="27">
        <f>ROUND(1.24*4,2)</f>
        <v>4.96</v>
      </c>
    </row>
    <row r="16" spans="1:5" ht="32.25" thickBot="1">
      <c r="A16" s="21" t="s">
        <v>81</v>
      </c>
      <c r="B16" s="24" t="s">
        <v>322</v>
      </c>
      <c r="C16" s="27">
        <f>ROUND(1.71*4,2)</f>
        <v>6.84</v>
      </c>
    </row>
    <row r="17" spans="1:7" ht="32.25" thickBot="1">
      <c r="A17" s="21" t="s">
        <v>154</v>
      </c>
      <c r="B17" s="24" t="s">
        <v>287</v>
      </c>
      <c r="C17" s="27">
        <f>ROUND(1.37*4,2)</f>
        <v>5.48</v>
      </c>
    </row>
    <row r="18" spans="1:7" ht="32.25" thickBot="1">
      <c r="A18" s="21" t="s">
        <v>80</v>
      </c>
      <c r="B18" s="24" t="s">
        <v>288</v>
      </c>
      <c r="C18" s="46">
        <f>ROUND(5.41*4,2)</f>
        <v>21.64</v>
      </c>
    </row>
    <row r="19" spans="1:7" ht="16.5" thickBot="1">
      <c r="A19" s="21"/>
      <c r="B19" s="25" t="s">
        <v>64</v>
      </c>
      <c r="C19" s="26">
        <f>SUM(C9:C18)</f>
        <v>237.7</v>
      </c>
    </row>
    <row r="20" spans="1:7" ht="16.5" thickBot="1">
      <c r="A20" s="21"/>
      <c r="B20" s="25" t="s">
        <v>65</v>
      </c>
      <c r="C20" s="27"/>
    </row>
    <row r="21" spans="1:7" ht="32.25" thickBot="1">
      <c r="A21" s="21" t="s">
        <v>83</v>
      </c>
      <c r="B21" s="28" t="s">
        <v>147</v>
      </c>
      <c r="C21" s="27">
        <f>ROUND((C9+C10+C11)*0.25,2)</f>
        <v>30.49</v>
      </c>
    </row>
    <row r="22" spans="1:7" ht="24.75" customHeight="1" thickBot="1">
      <c r="A22" s="21" t="s">
        <v>75</v>
      </c>
      <c r="B22" s="24" t="s">
        <v>73</v>
      </c>
      <c r="C22" s="27">
        <f>ROUND(C21*0.2409,2)</f>
        <v>7.35</v>
      </c>
    </row>
    <row r="23" spans="1:7" ht="32.25" thickBot="1">
      <c r="A23" s="21" t="s">
        <v>87</v>
      </c>
      <c r="B23" s="23" t="s">
        <v>292</v>
      </c>
      <c r="C23" s="27">
        <f>ROUND((39708/364914)*4,2)</f>
        <v>0.44</v>
      </c>
      <c r="E23" s="30"/>
    </row>
    <row r="24" spans="1:7" ht="32.25" thickBot="1">
      <c r="A24" s="21" t="s">
        <v>84</v>
      </c>
      <c r="B24" s="24" t="s">
        <v>293</v>
      </c>
      <c r="C24" s="27">
        <f>ROUND(2.23*4,2)</f>
        <v>8.92</v>
      </c>
    </row>
    <row r="25" spans="1:7" ht="32.25" thickBot="1">
      <c r="A25" s="21" t="s">
        <v>85</v>
      </c>
      <c r="B25" s="67" t="s">
        <v>294</v>
      </c>
      <c r="C25" s="27">
        <f>ROUND(0.64*4,2)</f>
        <v>2.56</v>
      </c>
    </row>
    <row r="26" spans="1:7" ht="32.25" thickBot="1">
      <c r="A26" s="21" t="s">
        <v>81</v>
      </c>
      <c r="B26" s="29" t="s">
        <v>303</v>
      </c>
      <c r="C26" s="27">
        <f>ROUND(1.54*4,2)</f>
        <v>6.16</v>
      </c>
    </row>
    <row r="27" spans="1:7" ht="32.25" thickBot="1">
      <c r="A27" s="21" t="s">
        <v>77</v>
      </c>
      <c r="B27" s="65" t="s">
        <v>295</v>
      </c>
      <c r="C27" s="27">
        <f>ROUND(1.72*4,2)</f>
        <v>6.88</v>
      </c>
    </row>
    <row r="28" spans="1:7" ht="32.25" thickBot="1">
      <c r="A28" s="21" t="s">
        <v>133</v>
      </c>
      <c r="B28" s="65" t="s">
        <v>319</v>
      </c>
      <c r="C28" s="27">
        <f>ROUND(0.79*4,2)</f>
        <v>3.16</v>
      </c>
    </row>
    <row r="29" spans="1:7" ht="32.25" thickBot="1">
      <c r="A29" s="21" t="s">
        <v>131</v>
      </c>
      <c r="B29" s="24" t="s">
        <v>323</v>
      </c>
      <c r="C29" s="27">
        <f>ROUND(0.43*4,2)</f>
        <v>1.72</v>
      </c>
    </row>
    <row r="30" spans="1:7" ht="32.25" thickBot="1">
      <c r="A30" s="21" t="s">
        <v>86</v>
      </c>
      <c r="B30" s="24" t="s">
        <v>298</v>
      </c>
      <c r="C30" s="27">
        <f>ROUND((46423/364914)*4,2)</f>
        <v>0.51</v>
      </c>
    </row>
    <row r="31" spans="1:7" ht="32.25" thickBot="1">
      <c r="A31" s="21" t="s">
        <v>82</v>
      </c>
      <c r="B31" s="65" t="s">
        <v>354</v>
      </c>
      <c r="C31" s="27">
        <f>ROUND((42368/364941)*4,2)</f>
        <v>0.46</v>
      </c>
    </row>
    <row r="32" spans="1:7" ht="48" thickBot="1">
      <c r="A32" s="21" t="s">
        <v>155</v>
      </c>
      <c r="B32" s="65" t="s">
        <v>363</v>
      </c>
      <c r="C32" s="27">
        <f>ROUND(1.12*4+4.14*4,2)</f>
        <v>21.04</v>
      </c>
      <c r="G32" s="9"/>
    </row>
    <row r="33" spans="1:6" ht="16.5" thickBot="1">
      <c r="A33" s="21"/>
      <c r="B33" s="22" t="s">
        <v>66</v>
      </c>
      <c r="C33" s="26">
        <f>SUM(C21:C32)</f>
        <v>89.69</v>
      </c>
    </row>
    <row r="34" spans="1:6" ht="16.5" thickBot="1">
      <c r="A34" s="21"/>
      <c r="B34" s="31" t="s">
        <v>67</v>
      </c>
      <c r="C34" s="26">
        <f>C33+C19</f>
        <v>327.39</v>
      </c>
    </row>
    <row r="35" spans="1:6">
      <c r="C35" s="9"/>
    </row>
    <row r="36" spans="1:6" ht="16.5" thickBot="1">
      <c r="C36" s="9"/>
    </row>
    <row r="37" spans="1:6" ht="16.5" thickBot="1">
      <c r="A37" s="130" t="s">
        <v>68</v>
      </c>
      <c r="B37" s="131"/>
      <c r="C37" s="32">
        <v>4</v>
      </c>
    </row>
    <row r="38" spans="1:6" ht="16.5" thickBot="1">
      <c r="A38" s="130" t="s">
        <v>69</v>
      </c>
      <c r="B38" s="131"/>
      <c r="C38" s="33">
        <f>ROUND(C34/C37,2)</f>
        <v>81.849999999999994</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31</vt:i4>
      </vt:variant>
    </vt:vector>
  </HeadingPairs>
  <TitlesOfParts>
    <vt:vector size="75" baseType="lpstr">
      <vt:lpstr>Saraksts</vt:lpstr>
      <vt:lpstr>1.1.</vt:lpstr>
      <vt:lpstr>1.2.</vt:lpstr>
      <vt:lpstr>1.3.</vt:lpstr>
      <vt:lpstr>2.1.</vt:lpstr>
      <vt:lpstr>2.2.</vt:lpstr>
      <vt:lpstr>2.3.</vt:lpstr>
      <vt:lpstr>2.4.</vt:lpstr>
      <vt:lpstr>2.5.</vt:lpstr>
      <vt:lpstr>2.6.</vt:lpstr>
      <vt:lpstr>2.7.</vt:lpstr>
      <vt:lpstr>2.8.</vt:lpstr>
      <vt:lpstr>3.1.</vt:lpstr>
      <vt:lpstr>3.2.</vt:lpstr>
      <vt:lpstr>3.3.</vt:lpstr>
      <vt:lpstr>3.4.</vt:lpstr>
      <vt:lpstr>4.1.</vt:lpstr>
      <vt:lpstr>4.2.</vt:lpstr>
      <vt:lpstr>4.3.</vt:lpstr>
      <vt:lpstr>4.4.</vt:lpstr>
      <vt:lpstr>4.5.</vt:lpstr>
      <vt:lpstr>4.6.</vt:lpstr>
      <vt:lpstr>4.7.</vt:lpstr>
      <vt:lpstr>4.8.</vt:lpstr>
      <vt:lpstr>4.9.</vt:lpstr>
      <vt:lpstr>4.10.</vt:lpstr>
      <vt:lpstr>4.11.</vt:lpstr>
      <vt:lpstr>5.1.</vt:lpstr>
      <vt:lpstr>5.2.</vt:lpstr>
      <vt:lpstr>5.3.</vt:lpstr>
      <vt:lpstr>5.4.</vt:lpstr>
      <vt:lpstr>5.5.</vt:lpstr>
      <vt:lpstr>6.1.</vt:lpstr>
      <vt:lpstr>6.2.</vt:lpstr>
      <vt:lpstr>6.3.</vt:lpstr>
      <vt:lpstr>6.4.</vt:lpstr>
      <vt:lpstr>6.5.</vt:lpstr>
      <vt:lpstr>6.6.</vt:lpstr>
      <vt:lpstr>6.7.</vt:lpstr>
      <vt:lpstr>6.8.</vt:lpstr>
      <vt:lpstr>6.9.</vt:lpstr>
      <vt:lpstr>6.10.</vt:lpstr>
      <vt:lpstr>6.11.</vt:lpstr>
      <vt:lpstr>6.12.</vt:lpstr>
      <vt:lpstr>'1.1.'!Print_Area</vt:lpstr>
      <vt:lpstr>'1.2.'!Print_Area</vt:lpstr>
      <vt:lpstr>'2.1.'!Print_Area</vt:lpstr>
      <vt:lpstr>'2.2.'!Print_Area</vt:lpstr>
      <vt:lpstr>'2.3.'!Print_Area</vt:lpstr>
      <vt:lpstr>'2.4.'!Print_Area</vt:lpstr>
      <vt:lpstr>'2.5.'!Print_Area</vt:lpstr>
      <vt:lpstr>'2.6.'!Print_Area</vt:lpstr>
      <vt:lpstr>'2.7.'!Print_Area</vt:lpstr>
      <vt:lpstr>'2.8.'!Print_Area</vt:lpstr>
      <vt:lpstr>'3.1.'!Print_Area</vt:lpstr>
      <vt:lpstr>'3.2.'!Print_Area</vt:lpstr>
      <vt:lpstr>'3.3.'!Print_Area</vt:lpstr>
      <vt:lpstr>'3.4.'!Print_Area</vt:lpstr>
      <vt:lpstr>'4.1.'!Print_Area</vt:lpstr>
      <vt:lpstr>'4.10.'!Print_Area</vt:lpstr>
      <vt:lpstr>'4.2.'!Print_Area</vt:lpstr>
      <vt:lpstr>'4.3.'!Print_Area</vt:lpstr>
      <vt:lpstr>'4.4.'!Print_Area</vt:lpstr>
      <vt:lpstr>'4.5.'!Print_Area</vt:lpstr>
      <vt:lpstr>'4.6.'!Print_Area</vt:lpstr>
      <vt:lpstr>'4.7.'!Print_Area</vt:lpstr>
      <vt:lpstr>'4.8.'!Print_Area</vt:lpstr>
      <vt:lpstr>'4.9.'!Print_Area</vt:lpstr>
      <vt:lpstr>'5.1.'!Print_Area</vt:lpstr>
      <vt:lpstr>'5.2.'!Print_Area</vt:lpstr>
      <vt:lpstr>'5.3.'!Print_Area</vt:lpstr>
      <vt:lpstr>'5.4.'!Print_Area</vt:lpstr>
      <vt:lpstr>'6.12.'!Print_Area</vt:lpstr>
      <vt:lpstr>'6.2.'!Print_Area</vt:lpstr>
      <vt:lpst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Māris Rutkis</dc:creator>
  <cp:lastModifiedBy>ebune</cp:lastModifiedBy>
  <cp:lastPrinted>2020-07-02T09:23:02Z</cp:lastPrinted>
  <dcterms:created xsi:type="dcterms:W3CDTF">2017-11-23T10:59:22Z</dcterms:created>
  <dcterms:modified xsi:type="dcterms:W3CDTF">2020-07-06T06:02:47Z</dcterms:modified>
</cp:coreProperties>
</file>